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6795" windowHeight="5895" activeTab="1"/>
  </bookViews>
  <sheets>
    <sheet name="Verhältnis" sheetId="1" r:id="rId1"/>
    <sheet name="Stats" sheetId="2" r:id="rId2"/>
    <sheet name="Manacalc" sheetId="3" r:id="rId3"/>
  </sheets>
  <definedNames/>
  <calcPr fullCalcOnLoad="1"/>
</workbook>
</file>

<file path=xl/comments1.xml><?xml version="1.0" encoding="utf-8"?>
<comments xmlns="http://schemas.openxmlformats.org/spreadsheetml/2006/main">
  <authors>
    <author>Fire</author>
  </authors>
  <commentList>
    <comment ref="A3" authorId="0">
      <text>
        <r>
          <rPr>
            <b/>
            <sz val="8"/>
            <rFont val="Tahoma"/>
            <family val="0"/>
          </rPr>
          <t xml:space="preserve">Energieschild-Level im violetten Kasten eintragen
</t>
        </r>
      </text>
    </comment>
    <comment ref="A4" authorId="0">
      <text>
        <r>
          <rPr>
            <b/>
            <sz val="8"/>
            <rFont val="Tahoma"/>
            <family val="0"/>
          </rPr>
          <t xml:space="preserve">Anzahl der Punkte eintragen, welche FEST in Telekinese investiert wurden.
</t>
        </r>
      </text>
    </comment>
    <comment ref="A5" authorId="0">
      <text>
        <r>
          <rPr>
            <b/>
            <sz val="8"/>
            <rFont val="Tahoma"/>
            <family val="0"/>
          </rPr>
          <t xml:space="preserve">Wärme Level eintragen
</t>
        </r>
      </text>
    </comment>
    <comment ref="A6" authorId="0">
      <text>
        <r>
          <rPr>
            <b/>
            <sz val="8"/>
            <rFont val="Tahoma"/>
            <family val="0"/>
          </rPr>
          <t xml:space="preserve">Anzahl der Treffer eintragen, die ihr pro Sekunde erhalten wollt. </t>
        </r>
      </text>
    </comment>
    <comment ref="A10" authorId="0">
      <text>
        <r>
          <rPr>
            <b/>
            <sz val="8"/>
            <rFont val="Tahoma"/>
            <family val="0"/>
          </rPr>
          <t>xx% Manaregeneration</t>
        </r>
      </text>
    </comment>
    <comment ref="A11" authorId="0">
      <text>
        <r>
          <rPr>
            <b/>
            <sz val="8"/>
            <rFont val="Tahoma"/>
            <family val="0"/>
          </rPr>
          <t>xx% Schaden geht auf Mana</t>
        </r>
      </text>
    </comment>
    <comment ref="A12" authorId="0">
      <text>
        <r>
          <rPr>
            <b/>
            <sz val="8"/>
            <rFont val="Tahoma"/>
            <family val="0"/>
          </rPr>
          <t>Leben wieder auffüllen</t>
        </r>
      </text>
    </comment>
    <comment ref="A13" authorId="0">
      <text>
        <r>
          <rPr>
            <b/>
            <sz val="8"/>
            <rFont val="Tahoma"/>
            <family val="0"/>
          </rPr>
          <t>maximales Mana</t>
        </r>
      </text>
    </comment>
    <comment ref="A14" authorId="0">
      <text>
        <r>
          <rPr>
            <b/>
            <sz val="8"/>
            <rFont val="Tahoma"/>
            <family val="0"/>
          </rPr>
          <t>prozentualer Anteil des Schadens, welcher aufs Mana geht</t>
        </r>
      </text>
    </comment>
    <comment ref="A15" authorId="0">
      <text>
        <r>
          <rPr>
            <b/>
            <sz val="8"/>
            <rFont val="Tahoma"/>
            <family val="0"/>
          </rPr>
          <t>Manaregeneration pro Sekunde</t>
        </r>
      </text>
    </comment>
    <comment ref="D3" authorId="0">
      <text>
        <r>
          <rPr>
            <b/>
            <sz val="8"/>
            <rFont val="Tahoma"/>
            <family val="0"/>
          </rPr>
          <t>Verwendet man einen Akt2 Söldner, dann bitte hier mit 'ja' antworten, sonst 'nein'.</t>
        </r>
      </text>
    </comment>
    <comment ref="D4" authorId="0">
      <text>
        <r>
          <rPr>
            <b/>
            <sz val="8"/>
            <rFont val="Tahoma"/>
            <family val="0"/>
          </rPr>
          <t>Welcher Akt2 Söldner? Bitte hier mit 'A2 Norm Kam' oder 'A2 Hell Kam' antworten. Alle anderen Söldner Typen sind hier unwichtig und müssen nicht eingetragen werden.</t>
        </r>
      </text>
    </comment>
    <comment ref="D5" authorId="0">
      <text>
        <r>
          <rPr>
            <b/>
            <sz val="8"/>
            <rFont val="Tahoma"/>
            <family val="0"/>
          </rPr>
          <t>trägt der Söldner das Runenwort "Einsicht" als Waffe? Bitte mit 'ja' oder 'nein' antworten.</t>
        </r>
      </text>
    </comment>
    <comment ref="D6" authorId="0">
      <text>
        <r>
          <rPr>
            <b/>
            <sz val="8"/>
            <rFont val="Tahoma"/>
            <family val="0"/>
          </rPr>
          <t>Wie ist das Level der Meditationsaura, welche vom Runenwort "Einsicht" erhalten wird.</t>
        </r>
      </text>
    </comment>
    <comment ref="D7" authorId="0">
      <text>
        <r>
          <rPr>
            <b/>
            <sz val="8"/>
            <rFont val="Tahoma"/>
            <family val="0"/>
          </rPr>
          <t>Level des Söldners?</t>
        </r>
      </text>
    </comment>
    <comment ref="D8" authorId="0">
      <text>
        <r>
          <rPr>
            <b/>
            <sz val="8"/>
            <rFont val="Tahoma"/>
            <family val="0"/>
          </rPr>
          <t>Wieviele "x zu allen Fertigkeiten" bekommt der Söldner von seinem Equip, trägt er z.B. Andariels Antlitz bekommt er 2 Skillplus. Sollte man den Barbarenschrei "Kampfaufruf" benutzen, dann bitte hier diese +1 mit eirnechnen.</t>
        </r>
      </text>
    </comment>
    <comment ref="D10" authorId="0">
      <text>
        <r>
          <rPr>
            <b/>
            <sz val="8"/>
            <rFont val="Tahoma"/>
            <family val="0"/>
          </rPr>
          <t>Sollte man einen Akt2 Norm/Hell Kampf Söldner haben, besitzt dieser eine Gebetsaura. Hier wird errechnet wie hoch das Level dieser Aura ist.</t>
        </r>
      </text>
    </comment>
    <comment ref="D11" authorId="0">
      <text>
        <r>
          <rPr>
            <b/>
            <sz val="8"/>
            <rFont val="Tahoma"/>
            <family val="0"/>
          </rPr>
          <t>Hier wird die Lebensregeneration errechnet, die wir pro Sekunde regenerieren.</t>
        </r>
      </text>
    </comment>
    <comment ref="G3" authorId="0">
      <text>
        <r>
          <rPr>
            <b/>
            <sz val="8"/>
            <rFont val="Tahoma"/>
            <family val="0"/>
          </rPr>
          <t>absolute Schadensreduzierung. Auch bekannt als 'Schaden reduziert um xx'.</t>
        </r>
      </text>
    </comment>
    <comment ref="G4" authorId="0">
      <text>
        <r>
          <rPr>
            <b/>
            <sz val="8"/>
            <rFont val="Tahoma"/>
            <family val="0"/>
          </rPr>
          <t>prozentuale Schadensreduzierung. Auch bekannt als 'Schaden reduziert um xx%'.
Der Cap hier liegt bei 50%</t>
        </r>
      </text>
    </comment>
    <comment ref="G14" authorId="0">
      <text>
        <r>
          <rPr>
            <b/>
            <sz val="8"/>
            <rFont val="Tahoma"/>
            <family val="0"/>
          </rPr>
          <t>absolute Magieschaden Reduzierung. Auch bekannt aus 'Magieschaden reduziert um xx'.</t>
        </r>
      </text>
    </comment>
    <comment ref="G15" authorId="0">
      <text>
        <r>
          <rPr>
            <b/>
            <sz val="8"/>
            <rFont val="Tahoma"/>
            <family val="0"/>
          </rPr>
          <t>prozentuale Magieschaden Reduzierung. Auch bekannt aus 'Magieschaden reduziert um xx%'.
Cap liegt bei 10%</t>
        </r>
      </text>
    </comment>
    <comment ref="G16" authorId="0">
      <text>
        <r>
          <rPr>
            <b/>
            <sz val="8"/>
            <rFont val="Tahoma"/>
            <family val="0"/>
          </rPr>
          <t>absoluter Magieschaden Absorb. Auch bekannt aus 'absorbiert xx Magieschaden'.</t>
        </r>
      </text>
    </comment>
    <comment ref="A21" authorId="0">
      <text>
        <r>
          <rPr>
            <b/>
            <sz val="8"/>
            <rFont val="Tahoma"/>
            <family val="0"/>
          </rPr>
          <t>hier bitte eintragen wieviel Schaden man erleiden will ;)</t>
        </r>
      </text>
    </comment>
    <comment ref="A22" authorId="0">
      <text>
        <r>
          <rPr>
            <b/>
            <sz val="8"/>
            <rFont val="Tahoma"/>
            <family val="0"/>
          </rPr>
          <t>der aus dem Schaden, Energieschild Lvl und Telekinese Lvl resulitierende Manaverlust.</t>
        </r>
      </text>
    </comment>
    <comment ref="A23" authorId="0">
      <text>
        <r>
          <rPr>
            <b/>
            <sz val="8"/>
            <rFont val="Tahoma"/>
            <family val="0"/>
          </rPr>
          <t>der aus dem Energieschild Lvl und Schadensreduzierenden Faktoren resultierende Lebensverlust.</t>
        </r>
      </text>
    </comment>
    <comment ref="A24" authorId="0">
      <text>
        <r>
          <rPr>
            <b/>
            <sz val="8"/>
            <rFont val="Tahoma"/>
            <family val="0"/>
          </rPr>
          <t>der durch Absorbtion resultierende Leben Rückgewinn.</t>
        </r>
      </text>
    </comment>
    <comment ref="A26" authorId="0">
      <text>
        <r>
          <rPr>
            <b/>
            <sz val="8"/>
            <rFont val="Tahoma"/>
            <family val="0"/>
          </rPr>
          <t>der durch Schaden geht auf Mana erlange Mana Rückgewinn.</t>
        </r>
      </text>
    </comment>
    <comment ref="B31" authorId="0">
      <text>
        <r>
          <rPr>
            <b/>
            <sz val="8"/>
            <rFont val="Tahoma"/>
            <family val="0"/>
          </rPr>
          <t>Hier wird das optimale Verhältnis nur unter Betracht vom ES und TK Lvl berechnet. Alle anderen Faktoren werden hier nicht beachtet. Daher ist dieses Verhältnis nicht wirklich das Wahre.</t>
        </r>
      </text>
    </comment>
    <comment ref="B39" authorId="0">
      <text>
        <r>
          <rPr>
            <b/>
            <sz val="8"/>
            <rFont val="Tahoma"/>
            <family val="0"/>
          </rPr>
          <t>Hier wird das Leben/Mana Verhältnis mit allen Faktoren die Einfluss aufs ES haben errechnet. Dazu gehören z.B. Lebensregeneration, Manaregeneration, Resistenzen, Absorb, Schadensreduzierung etc. Sollte ein Wert von 1:∞ rauskommen, bedeutet das, dass wir kein Life durch den erlittenen Schaden verlieren und daher alles ins Mana stecken können. Vorsicht: Giftschaden wird hier NICHT mit einberechnet.</t>
        </r>
      </text>
    </comment>
    <comment ref="B52" authorId="0">
      <text>
        <r>
          <rPr>
            <b/>
            <sz val="8"/>
            <rFont val="Tahoma"/>
            <family val="0"/>
          </rPr>
          <t>Hier wird das optimale Leben/Mana Verhältnis berechnet. Vorsicht: Hier wird nur Wert auf TK und ES Lvl gelegt, alle weiteren Faktoren sind hier nicht berücksichtigt. Daher ist dieses Verhältnis nicht empfehlenswert.</t>
        </r>
      </text>
    </comment>
    <comment ref="F57" authorId="0">
      <text>
        <r>
          <rPr>
            <b/>
            <sz val="8"/>
            <rFont val="Tahoma"/>
            <family val="0"/>
          </rPr>
          <t>Hier wird angegeben wieviele Statuspunkte noch in Vitalität gesteckt werden müssten, um den optimalen Lifewert passend zum Manawert zu haben.
Gilt für 'nur mit TK/ES:' - Verhältnis.</t>
        </r>
      </text>
    </comment>
    <comment ref="B60" authorId="0">
      <text>
        <r>
          <rPr>
            <b/>
            <sz val="8"/>
            <rFont val="Tahoma"/>
            <family val="0"/>
          </rPr>
          <t xml:space="preserve">Hier wird das optimale Leben/Mana - Verhältnis berechnet. In dieser Berechnung sind wieder alle relevanten Faktoren, wie Manareg, Liferep, Resis, Absorb, Schadensreduzierung etc mit eingerechnet. </t>
        </r>
      </text>
    </comment>
    <comment ref="F65" authorId="0">
      <text>
        <r>
          <rPr>
            <b/>
            <sz val="8"/>
            <rFont val="Tahoma"/>
            <family val="0"/>
          </rPr>
          <t>Hier wird angegeben wieviele Statuspunkte noch in Vitalität gesteckt werden müssten, um den optimalen Lifewert passend zum Manawert zu haben.
Gilt für 'mit allen Faktoren:' - Verhältnis.</t>
        </r>
      </text>
    </comment>
    <comment ref="A7" authorId="0">
      <text>
        <r>
          <rPr>
            <b/>
            <sz val="8"/>
            <rFont val="Tahoma"/>
            <family val="0"/>
          </rPr>
          <t>ist ein Schild im Hauptwaffenslot in Bentzung? Mit 'ja' oder 'nein' antworten.</t>
        </r>
      </text>
    </comment>
    <comment ref="A8" authorId="0">
      <text>
        <r>
          <rPr>
            <b/>
            <sz val="8"/>
            <rFont val="Tahoma"/>
            <family val="0"/>
          </rPr>
          <t>Wie hoch ist die "xx% Chance zu blocken" auf dem Schild?</t>
        </r>
      </text>
    </comment>
    <comment ref="A16" authorId="0">
      <text>
        <r>
          <rPr>
            <b/>
            <sz val="8"/>
            <rFont val="Tahoma"/>
            <family val="0"/>
          </rPr>
          <t xml:space="preserve">Gibt die Chance in Prozent an, einen Angriff zu blocken.
</t>
        </r>
      </text>
    </comment>
    <comment ref="A25" authorId="0">
      <text>
        <r>
          <rPr>
            <b/>
            <sz val="8"/>
            <rFont val="Tahoma"/>
            <family val="0"/>
          </rPr>
          <t>gibt den Lebensverlust mit Einberechnung der Absorbtion an.</t>
        </r>
      </text>
    </comment>
    <comment ref="I21" authorId="0">
      <text>
        <r>
          <rPr>
            <b/>
            <sz val="8"/>
            <rFont val="Tahoma"/>
            <family val="0"/>
          </rPr>
          <t>Bitte hier angeben zu wieviel Prozent die Lebenskugel noch voll ist.</t>
        </r>
      </text>
    </comment>
    <comment ref="I22" authorId="0">
      <text>
        <r>
          <rPr>
            <b/>
            <sz val="8"/>
            <rFont val="Tahoma"/>
            <family val="0"/>
          </rPr>
          <t>Bitte hier angeben zu wieviel Prozent die Manakugel noch voll ist.</t>
        </r>
      </text>
    </comment>
    <comment ref="I24" authorId="0">
      <text>
        <r>
          <rPr>
            <b/>
            <sz val="8"/>
            <rFont val="Tahoma"/>
            <family val="0"/>
          </rPr>
          <t>gibt das maximal vorhandene Leben an.</t>
        </r>
      </text>
    </comment>
    <comment ref="I25" authorId="0">
      <text>
        <r>
          <rPr>
            <b/>
            <sz val="8"/>
            <rFont val="Tahoma"/>
            <family val="0"/>
          </rPr>
          <t>Gibt das maximal vorhandene Mana an.</t>
        </r>
      </text>
    </comment>
    <comment ref="I26" authorId="0">
      <text>
        <r>
          <rPr>
            <b/>
            <sz val="8"/>
            <rFont val="Tahoma"/>
            <family val="0"/>
          </rPr>
          <t>Gibt das Leben an, das noch vorhanden ist, basierend auf die Prozentsatz der bei "Leben ist zu wieviel % voll?" angegeben wurde.</t>
        </r>
      </text>
    </comment>
    <comment ref="I27" authorId="0">
      <text>
        <r>
          <rPr>
            <b/>
            <sz val="8"/>
            <rFont val="Tahoma"/>
            <family val="0"/>
          </rPr>
          <t>Gibt das Mana an, das noch vorhanden ist, basierend auf die Prozentsatz der bei "Mana ist zu wieviel % voll?" angegeben wurde.</t>
        </r>
      </text>
    </comment>
    <comment ref="I28" authorId="0">
      <text>
        <r>
          <rPr>
            <b/>
            <sz val="8"/>
            <rFont val="Tahoma"/>
            <family val="0"/>
          </rPr>
          <t>Gibt die Anzahl der Treffer an, die benötigt werden, um das Leben der Zauberin auf unter 0 zu bringen.</t>
        </r>
      </text>
    </comment>
  </commentList>
</comments>
</file>

<file path=xl/comments2.xml><?xml version="1.0" encoding="utf-8"?>
<comments xmlns="http://schemas.openxmlformats.org/spreadsheetml/2006/main">
  <authors>
    <author>Fire</author>
  </authors>
  <commentList>
    <comment ref="B1" authorId="0">
      <text>
        <r>
          <rPr>
            <b/>
            <sz val="8"/>
            <rFont val="Tahoma"/>
            <family val="0"/>
          </rPr>
          <t>Schwierigkeitsgrad angeben. Bitte mit 'Norm', 'Alp' oder 'hell' antworten.</t>
        </r>
      </text>
    </comment>
    <comment ref="B3" authorId="0">
      <text>
        <r>
          <rPr>
            <b/>
            <sz val="8"/>
            <rFont val="Tahoma"/>
            <family val="0"/>
          </rPr>
          <t>angeben wieviel Feuerresis der jeweilige Gegenstand gibt.</t>
        </r>
      </text>
    </comment>
    <comment ref="C3" authorId="0">
      <text>
        <r>
          <rPr>
            <b/>
            <sz val="8"/>
            <rFont val="Tahoma"/>
            <family val="0"/>
          </rPr>
          <t>angeben wieviel Kälteresis der jeweilige Gegenstand bringt.</t>
        </r>
      </text>
    </comment>
    <comment ref="D3" authorId="0">
      <text>
        <r>
          <rPr>
            <b/>
            <sz val="8"/>
            <rFont val="Tahoma"/>
            <family val="0"/>
          </rPr>
          <t>angeben wieviel Blitzresis der angegebene Gegenstand bringt.</t>
        </r>
      </text>
    </comment>
    <comment ref="E3" authorId="0">
      <text>
        <r>
          <rPr>
            <b/>
            <sz val="8"/>
            <rFont val="Tahoma"/>
            <family val="0"/>
          </rPr>
          <t>angeben wieviel Giftresis der angegebene Gegenstand bringt.
ACHTUNG: Wird NICHT in die Berechnungen des Verhältnisses mit reingenommen. Diese Spalte dient nur dazu, um zu erfahren wieviel Giftresis man denn so hat ;)</t>
        </r>
      </text>
    </comment>
    <comment ref="F3" authorId="0">
      <text>
        <r>
          <rPr>
            <b/>
            <sz val="8"/>
            <rFont val="Tahoma"/>
            <family val="0"/>
          </rPr>
          <t>angeben wieviel Stärke man vom jeweiligen Gegenstand bekommt.</t>
        </r>
      </text>
    </comment>
    <comment ref="G3" authorId="0">
      <text>
        <r>
          <rPr>
            <b/>
            <sz val="8"/>
            <rFont val="Tahoma"/>
            <family val="0"/>
          </rPr>
          <t>angeben wieviel Geschicklichkeit man vom jeweiligen Gegenstand bekommt.</t>
        </r>
      </text>
    </comment>
    <comment ref="H3" authorId="0">
      <text>
        <r>
          <rPr>
            <b/>
            <sz val="8"/>
            <rFont val="Tahoma"/>
            <family val="0"/>
          </rPr>
          <t>angeben wieviel Vitalität man vom jeweiligen Gegenstand bekommt.</t>
        </r>
      </text>
    </comment>
    <comment ref="I3" authorId="0">
      <text>
        <r>
          <rPr>
            <b/>
            <sz val="8"/>
            <rFont val="Tahoma"/>
            <family val="0"/>
          </rPr>
          <t>angeben wieviel Energie man vom jeweiligen Gegenstand bekommt.</t>
        </r>
      </text>
    </comment>
    <comment ref="J3" authorId="0">
      <text>
        <r>
          <rPr>
            <b/>
            <sz val="8"/>
            <rFont val="Tahoma"/>
            <family val="0"/>
          </rPr>
          <t>angeben wieviel Leben man vom jeweiligen Gegenstand bekommt.</t>
        </r>
      </text>
    </comment>
    <comment ref="K3" authorId="0">
      <text>
        <r>
          <rPr>
            <b/>
            <sz val="8"/>
            <rFont val="Tahoma"/>
            <family val="0"/>
          </rPr>
          <t>angeben wieviel Mana man vom jeweiligen Gegenstand bekommt.</t>
        </r>
      </text>
    </comment>
    <comment ref="L3" authorId="0">
      <text>
        <r>
          <rPr>
            <b/>
            <sz val="8"/>
            <rFont val="Tahoma"/>
            <family val="0"/>
          </rPr>
          <t>angeben wieviel Leben man pro Charakterlevel vom Gegenstand bekommt. Z.B. die Harlekinskrone gibt 1,5 Leben/Clvl, also würde man hier 1,5 eingeben.</t>
        </r>
      </text>
    </comment>
    <comment ref="M3" authorId="0">
      <text>
        <r>
          <rPr>
            <b/>
            <sz val="8"/>
            <rFont val="Tahoma"/>
            <family val="0"/>
          </rPr>
          <t>angeben wieviel Mana man pro Charakterlevel vom Gegenstand bekommt. Z.B. die Harlekinskrone gibt 1,5 Mana/Clvl, also würde man hier 1,5 eingeben.</t>
        </r>
      </text>
    </comment>
    <comment ref="N3" authorId="0">
      <text>
        <r>
          <rPr>
            <b/>
            <sz val="8"/>
            <rFont val="Tahoma"/>
            <family val="0"/>
          </rPr>
          <t>angeben wieviel prozentuale Lebenserhöhung man vom Gegenstand bekommt.</t>
        </r>
      </text>
    </comment>
    <comment ref="O3" authorId="0">
      <text>
        <r>
          <rPr>
            <b/>
            <sz val="8"/>
            <rFont val="Tahoma"/>
            <family val="0"/>
          </rPr>
          <t>angeben wieviel prozentuale Manaerhöhung man vom Gegenstand bekommt.</t>
        </r>
      </text>
    </comment>
    <comment ref="B20" authorId="0">
      <text>
        <r>
          <rPr>
            <b/>
            <sz val="8"/>
            <rFont val="Tahoma"/>
            <family val="0"/>
          </rPr>
          <t xml:space="preserve">angeben wieviel absoute Schadensreduzierung man vom Gegenstand bekommt. </t>
        </r>
      </text>
    </comment>
    <comment ref="C20" authorId="0">
      <text>
        <r>
          <rPr>
            <b/>
            <sz val="8"/>
            <rFont val="Tahoma"/>
            <family val="0"/>
          </rPr>
          <t>angeben wieviel prozentuale Schadensreduzierung man vom Gegenstand bekommt</t>
        </r>
      </text>
    </comment>
    <comment ref="D20" authorId="0">
      <text>
        <r>
          <rPr>
            <b/>
            <sz val="8"/>
            <rFont val="Tahoma"/>
            <family val="0"/>
          </rPr>
          <t>angeben wieviel prozentualen Feuer-Absorb man vom Gegenstand bekommt.</t>
        </r>
      </text>
    </comment>
    <comment ref="E20" authorId="0">
      <text>
        <r>
          <rPr>
            <b/>
            <sz val="8"/>
            <rFont val="Tahoma"/>
            <family val="0"/>
          </rPr>
          <t>angeben wieviel absolute Feuer-Absorb man vom Gegenstand bekommt.</t>
        </r>
      </text>
    </comment>
    <comment ref="F20" authorId="0">
      <text>
        <r>
          <rPr>
            <b/>
            <sz val="8"/>
            <rFont val="Tahoma"/>
            <family val="0"/>
          </rPr>
          <t>angeben wieviel prozentualen Kälte-Absorb man vom Gegenstand bekommt.</t>
        </r>
      </text>
    </comment>
    <comment ref="G20" authorId="0">
      <text>
        <r>
          <rPr>
            <b/>
            <sz val="8"/>
            <rFont val="Tahoma"/>
            <family val="0"/>
          </rPr>
          <t>angeben wieviel absoluten Kälte-Absorb man vom Gegenstand bekommt.</t>
        </r>
      </text>
    </comment>
    <comment ref="H20" authorId="0">
      <text>
        <r>
          <rPr>
            <b/>
            <sz val="8"/>
            <rFont val="Tahoma"/>
            <family val="0"/>
          </rPr>
          <t>angeben wieviel prozentualen Blitz-Absorb man vom Gegenstand bekommt.</t>
        </r>
      </text>
    </comment>
    <comment ref="I20" authorId="0">
      <text>
        <r>
          <rPr>
            <b/>
            <sz val="8"/>
            <rFont val="Tahoma"/>
            <family val="0"/>
          </rPr>
          <t>angeben wieviel absoluten Blitz-Absorb man vom Gegenstand bekommt.</t>
        </r>
      </text>
    </comment>
    <comment ref="J20" authorId="0">
      <text>
        <r>
          <rPr>
            <b/>
            <sz val="8"/>
            <rFont val="Tahoma"/>
            <family val="0"/>
          </rPr>
          <t>angeben wieviel prozentuale Magieschadenreduzierung man vom Gegenstand bekommt.</t>
        </r>
      </text>
    </comment>
    <comment ref="K20" authorId="0">
      <text>
        <r>
          <rPr>
            <b/>
            <sz val="8"/>
            <rFont val="Tahoma"/>
            <family val="0"/>
          </rPr>
          <t>angeben wieviel absolute Magieschadenreduzierung man vom Gegenstand bekommt.</t>
        </r>
      </text>
    </comment>
    <comment ref="L20" authorId="0">
      <text>
        <r>
          <rPr>
            <b/>
            <sz val="8"/>
            <rFont val="Tahoma"/>
            <family val="0"/>
          </rPr>
          <t>angeben wieviel absoluten Magieschaden-Absorb man vom Gegenstand bekommt.</t>
        </r>
      </text>
    </comment>
    <comment ref="M20" authorId="0">
      <text>
        <r>
          <rPr>
            <b/>
            <sz val="8"/>
            <rFont val="Tahoma"/>
            <family val="0"/>
          </rPr>
          <t>angeben wieviel Skillplus man vom jeweiligen Equip bekommt. Bitte NUR "x zu allen Fertigkeiten" als Skill ansehen. Alle anderen werden nicht mit Kampfbefehle addiert und würden zu einer fehlerhaften Kalkulation führen.</t>
        </r>
      </text>
    </comment>
    <comment ref="N20" authorId="0">
      <text>
        <r>
          <rPr>
            <b/>
            <sz val="8"/>
            <rFont val="Tahoma"/>
            <family val="0"/>
          </rPr>
          <t>angeben wieviel xx% Manaregeneration man vom jeweiligen Gegenstand bekommt.</t>
        </r>
      </text>
    </comment>
    <comment ref="O20" authorId="0">
      <text>
        <r>
          <rPr>
            <b/>
            <sz val="8"/>
            <rFont val="Tahoma"/>
            <family val="0"/>
          </rPr>
          <t>angeben wieviel x Leben wiederherstellen man vom Gegenstand bekommt.</t>
        </r>
      </text>
    </comment>
    <comment ref="P20" authorId="0">
      <text>
        <r>
          <rPr>
            <b/>
            <sz val="8"/>
            <rFont val="Tahoma"/>
            <family val="0"/>
          </rPr>
          <t>angeben wieviel xx Schaden geht auf Mana man vom Gegenstand bekommt.</t>
        </r>
      </text>
    </comment>
    <comment ref="C34" authorId="0">
      <text>
        <r>
          <rPr>
            <b/>
            <sz val="8"/>
            <rFont val="Tahoma"/>
            <family val="0"/>
          </rPr>
          <t>Benutzt man die das Runenwort "Ruf zu den Waffen", dann bitte hier mit 'ja' antworten, sonst 'nein'.</t>
        </r>
      </text>
    </comment>
    <comment ref="F34" authorId="0">
      <text>
        <r>
          <rPr>
            <b/>
            <sz val="8"/>
            <rFont val="Tahoma"/>
            <family val="0"/>
          </rPr>
          <t>der aus dem CtA Kampfbefehle Level und dem Skillplus resultierende Leben/Mana/Ausdauer erhöhende Prozentsatz.</t>
        </r>
      </text>
    </comment>
    <comment ref="C35" authorId="0">
      <text>
        <r>
          <rPr>
            <b/>
            <sz val="8"/>
            <rFont val="Tahoma"/>
            <family val="0"/>
          </rPr>
          <t>Sollte man im CtA-Slot einen Schild nutzen, bitte hier angeben wieviele "x zu allen Fertigkeiten" dieser Schild bietet.</t>
        </r>
      </text>
    </comment>
    <comment ref="C36" authorId="0">
      <text>
        <r>
          <rPr>
            <b/>
            <sz val="8"/>
            <rFont val="Tahoma"/>
            <family val="0"/>
          </rPr>
          <t>Bitte das Kampfbefehle- Level angeben, welches das CtA bietet.</t>
        </r>
      </text>
    </comment>
    <comment ref="C37" authorId="0">
      <text>
        <r>
          <rPr>
            <b/>
            <sz val="8"/>
            <rFont val="Tahoma"/>
            <family val="0"/>
          </rPr>
          <t>Das Level angeben, welches die Sorc hat.</t>
        </r>
      </text>
    </comment>
    <comment ref="C38" authorId="0">
      <text>
        <r>
          <rPr>
            <b/>
            <sz val="8"/>
            <rFont val="Tahoma"/>
            <family val="0"/>
          </rPr>
          <t>Hier die maximal benötigte Stärke angeben die man benötigt um das schwerste Equipteil tragen zu können. Sollte man den Str-Bug nutzen wollen, bitte diesen gleich mit einberechnen.
Beispiel: Storm benötigt 156 Str und bietet 30 Stärke. Ist Storm unser schwerstes Item dann hier 156 eintragen. Nutzt man den Str-Bug, dann hier 126 eintragen.</t>
        </r>
      </text>
    </comment>
    <comment ref="C39" authorId="0">
      <text>
        <r>
          <rPr>
            <b/>
            <sz val="8"/>
            <rFont val="Tahoma"/>
            <family val="0"/>
          </rPr>
          <t>Hier die benötigte Geschicklichkeit eintragen. Sollte man z.B. Wizzy tragen wollen oder auf Maxblock gehen wollen, dann hier eintragen wieviel Dex der jeweilige Gegenstand benötigt oder wieviel Dex man für Maxblock braucht. Sollte man kein Dex benötigen, dann hier 0 eintragen.</t>
        </r>
      </text>
    </comment>
    <comment ref="C40" authorId="0">
      <text>
        <r>
          <rPr>
            <b/>
            <sz val="8"/>
            <rFont val="Tahoma"/>
            <family val="0"/>
          </rPr>
          <t>eintragen wieviel Punkte man bereits in Stärke investiert hat.</t>
        </r>
      </text>
    </comment>
    <comment ref="C41" authorId="0">
      <text>
        <r>
          <rPr>
            <b/>
            <sz val="8"/>
            <rFont val="Tahoma"/>
            <family val="0"/>
          </rPr>
          <t>eintragen wieviel Punkte man bereits in Geschicklichkeit investiert hat.</t>
        </r>
      </text>
    </comment>
    <comment ref="C42" authorId="0">
      <text>
        <r>
          <rPr>
            <b/>
            <sz val="8"/>
            <rFont val="Tahoma"/>
            <family val="0"/>
          </rPr>
          <t>eintragen wieviel Punkte man bereits in Vitalität investiert hat.</t>
        </r>
      </text>
    </comment>
    <comment ref="C43" authorId="0">
      <text>
        <r>
          <rPr>
            <b/>
            <sz val="8"/>
            <rFont val="Tahoma"/>
            <family val="0"/>
          </rPr>
          <t>eintragen wieviele Punkte man bereits in Energie investiert hat.</t>
        </r>
      </text>
    </comment>
    <comment ref="C44" authorId="0">
      <text>
        <r>
          <rPr>
            <b/>
            <sz val="8"/>
            <rFont val="Tahoma"/>
            <family val="0"/>
          </rPr>
          <t>Hat man Akt3 Quest1 in allen  3 Schwierigkeitsgraden abgeschlossen, dann bitte hier mit 'ja' antworten. Wenn nicht, dann 'nein'</t>
        </r>
      </text>
    </comment>
    <comment ref="C45" authorId="0">
      <text>
        <r>
          <rPr>
            <b/>
            <sz val="8"/>
            <rFont val="Tahoma"/>
            <family val="0"/>
          </rPr>
          <t>Hat man Akt3 Quest4 bereits in allen Schwierigkeitsgraden abgeschlossen, dann bitte hier mit 'ja' antworten, wenn nicht, dann 'nein'.</t>
        </r>
      </text>
    </comment>
    <comment ref="B47" authorId="0">
      <text>
        <r>
          <rPr>
            <b/>
            <sz val="8"/>
            <rFont val="Tahoma"/>
            <family val="0"/>
          </rPr>
          <t>unser uns zur Verfügung stehendes Mana.</t>
        </r>
      </text>
    </comment>
    <comment ref="B48" authorId="0">
      <text>
        <r>
          <rPr>
            <b/>
            <sz val="8"/>
            <rFont val="Tahoma"/>
            <family val="0"/>
          </rPr>
          <t>unser uns zur Verfügung stehendes Leben.</t>
        </r>
      </text>
    </comment>
    <comment ref="J37" authorId="0">
      <text>
        <r>
          <rPr>
            <b/>
            <sz val="8"/>
            <rFont val="Tahoma"/>
            <family val="0"/>
          </rPr>
          <t>Hier wird angezeigt wieviel Str, Dex, Vita und Energie man mit Equip und investierten Punkten hat. Und wieviele Statuspunkte noch frei sind. 
Hier wird nicht das benötigte Str/Dex mit eingerechnet, welches man Links eingegeben hat.</t>
        </r>
      </text>
    </comment>
    <comment ref="J44" authorId="0">
      <text>
        <r>
          <rPr>
            <b/>
            <sz val="8"/>
            <rFont val="Tahoma"/>
            <family val="0"/>
          </rPr>
          <t>Hier wird das benötigte Str, Dex direkt als Maximum eingetragen und es wird gleich berechnet wieviele Statuspunkte noch über bleiben würden.</t>
        </r>
      </text>
    </comment>
    <comment ref="P3" authorId="0">
      <text>
        <r>
          <rPr>
            <b/>
            <sz val="8"/>
            <rFont val="Tahoma"/>
            <family val="0"/>
          </rPr>
          <t>Hier die maximale Feuerresistenz Erhöhung eingeben.</t>
        </r>
      </text>
    </comment>
    <comment ref="Q3" authorId="0">
      <text>
        <r>
          <rPr>
            <b/>
            <sz val="8"/>
            <rFont val="Tahoma"/>
            <family val="0"/>
          </rPr>
          <t>Hier die maximale Kälteresistenz Erhöhung eingeben.</t>
        </r>
      </text>
    </comment>
    <comment ref="R3" authorId="0">
      <text>
        <r>
          <rPr>
            <b/>
            <sz val="8"/>
            <rFont val="Tahoma"/>
            <family val="0"/>
          </rPr>
          <t>Hier die maximale Blitzresistenz Erhöhung eingeben.</t>
        </r>
      </text>
    </comment>
  </commentList>
</comments>
</file>

<file path=xl/comments3.xml><?xml version="1.0" encoding="utf-8"?>
<comments xmlns="http://schemas.openxmlformats.org/spreadsheetml/2006/main">
  <authors>
    <author>Fire</author>
  </authors>
  <commentList>
    <comment ref="B1" authorId="0">
      <text>
        <r>
          <rPr>
            <b/>
            <sz val="8"/>
            <rFont val="Tahoma"/>
            <family val="0"/>
          </rPr>
          <t>Hier den gewünschten Zauber eingeben. Als Antwortmöglichkeiten zählen: 'Eisblitz', 'Frostnova', 'Eisstoß', 'Gletschernadel', 'Blizzard', 'Frostphäre', 'Comboblitz', 'Statikfeld', 'Telekinese', 'Nova', 'Blitzschlag', 'Kettenblitz', 'Teleport', 'Feuerblitz', 'Feuerball', 'Feuerwand', 'Meteor' und 'Hydra' zur Verfügung. Bitte ohne die ' ' eintragen :p</t>
        </r>
      </text>
    </comment>
    <comment ref="B2" authorId="0">
      <text>
        <r>
          <rPr>
            <b/>
            <sz val="8"/>
            <rFont val="Tahoma"/>
            <family val="0"/>
          </rPr>
          <t>Hier das Level des Zaubers eingeben.</t>
        </r>
      </text>
    </comment>
    <comment ref="B4" authorId="0">
      <text>
        <r>
          <rPr>
            <b/>
            <sz val="8"/>
            <rFont val="Tahoma"/>
            <family val="0"/>
          </rPr>
          <t>gibt das maximal Verfügbare Mana an. Dieses berechnet aus den in der vorigen Tabelle getätigten Angaben.</t>
        </r>
      </text>
    </comment>
    <comment ref="B5" authorId="0">
      <text>
        <r>
          <rPr>
            <b/>
            <sz val="8"/>
            <rFont val="Tahoma"/>
            <family val="0"/>
          </rPr>
          <t>Zeigt den Manabedarf des angegebenen Zaubers pro zaubern an.</t>
        </r>
      </text>
    </comment>
    <comment ref="B6" authorId="0">
      <text>
        <r>
          <rPr>
            <b/>
            <sz val="8"/>
            <rFont val="Tahoma"/>
            <family val="0"/>
          </rPr>
          <t>Gibt den "xx% schneller zaubern" Wert an. Dieser Wert wird aus den in der vorigen Tabelle gemachten Angaben errechnet.</t>
        </r>
      </text>
    </comment>
    <comment ref="B7" authorId="0">
      <text>
        <r>
          <rPr>
            <b/>
            <sz val="8"/>
            <rFont val="Tahoma"/>
            <family val="0"/>
          </rPr>
          <t>Gibt die Dauer des Castdelays, oder auch "Abkühlzeit" genannt, des benutzten Zaubers an.</t>
        </r>
      </text>
    </comment>
    <comment ref="B8" authorId="0">
      <text>
        <r>
          <rPr>
            <b/>
            <sz val="8"/>
            <rFont val="Tahoma"/>
            <family val="0"/>
          </rPr>
          <t>Gibt die maximal möglichen Angriffe pro Sekunde an. Diese hängen vom Castdelay oder vom Fcr ab.</t>
        </r>
      </text>
    </comment>
    <comment ref="B9" authorId="0">
      <text>
        <r>
          <rPr>
            <b/>
            <sz val="8"/>
            <rFont val="Tahoma"/>
            <family val="0"/>
          </rPr>
          <t>Gibt die Manaregeneration pro Sekunde an. Diese wurde ebenfalls aus den vorher gemachten Angaben errechnet.</t>
        </r>
      </text>
    </comment>
    <comment ref="C12" authorId="0">
      <text>
        <r>
          <rPr>
            <b/>
            <sz val="8"/>
            <rFont val="Tahoma"/>
            <family val="0"/>
          </rPr>
          <t>Gibt den Manaverbrauch pro Sekunde ohne Einberechnung der Manaregeneration an.</t>
        </r>
      </text>
    </comment>
    <comment ref="C13" authorId="0">
      <text>
        <r>
          <rPr>
            <b/>
            <sz val="8"/>
            <rFont val="Tahoma"/>
            <family val="0"/>
          </rPr>
          <t>Gibt den Manaverbrauch pro Sekunde mit Einberechnung der Manaregeneration an.</t>
        </r>
      </text>
    </comment>
    <comment ref="C14" authorId="0">
      <text>
        <r>
          <rPr>
            <b/>
            <sz val="8"/>
            <rFont val="Tahoma"/>
            <family val="0"/>
          </rPr>
          <t>Gibt die Anzahl der Sekunden an, bis das Mana ohne äußere Einflüsse sondern nur durch dauerzaubern des benutzten Zaubers leer ist.</t>
        </r>
      </text>
    </comment>
  </commentList>
</comments>
</file>

<file path=xl/sharedStrings.xml><?xml version="1.0" encoding="utf-8"?>
<sst xmlns="http://schemas.openxmlformats.org/spreadsheetml/2006/main" count="177" uniqueCount="142">
  <si>
    <t>prozentualer Feuer - Absorb =</t>
  </si>
  <si>
    <t>absoluter Feuer - Absorb =</t>
  </si>
  <si>
    <t>Blitz - Resistenz =</t>
  </si>
  <si>
    <t>Feuer - Resistenz =</t>
  </si>
  <si>
    <t>prozentualer Blitz - Absorb =</t>
  </si>
  <si>
    <t>absoluter Blitz - Absorb =</t>
  </si>
  <si>
    <t>Kälte - Resistenz =</t>
  </si>
  <si>
    <t>prozentualer Kälte - Absorb =</t>
  </si>
  <si>
    <t>absoluter Kälte - Absorb =</t>
  </si>
  <si>
    <t xml:space="preserve">absoluter Mdmg - Absorb = </t>
  </si>
  <si>
    <t>absolute Mdmg red =</t>
  </si>
  <si>
    <t>prozentualer Dmg red =</t>
  </si>
  <si>
    <t>Liferep =</t>
  </si>
  <si>
    <t xml:space="preserve">prozentuale Mdmg red = </t>
  </si>
  <si>
    <t>Wärme Lvl =</t>
  </si>
  <si>
    <t xml:space="preserve">Akt2 Merc? </t>
  </si>
  <si>
    <t xml:space="preserve">Mana = </t>
  </si>
  <si>
    <t>Manareg =</t>
  </si>
  <si>
    <t>ES lvl</t>
  </si>
  <si>
    <t>Manaverlust</t>
  </si>
  <si>
    <t>Schaden</t>
  </si>
  <si>
    <t>Blitz</t>
  </si>
  <si>
    <t>Feuer</t>
  </si>
  <si>
    <t>Kälte</t>
  </si>
  <si>
    <t>Magie</t>
  </si>
  <si>
    <t>physisch</t>
  </si>
  <si>
    <t>Dmg2Mana</t>
  </si>
  <si>
    <t>-</t>
  </si>
  <si>
    <t>Dmg2Mana =</t>
  </si>
  <si>
    <t>TK Pkte =</t>
  </si>
  <si>
    <t>Life / Sek =</t>
  </si>
  <si>
    <t>Gebetslvl =</t>
  </si>
  <si>
    <t>Treffer / Sek?</t>
  </si>
  <si>
    <t>ES Absorb:</t>
  </si>
  <si>
    <t>Manareg/Sek:</t>
  </si>
  <si>
    <t>Lebensverlust</t>
  </si>
  <si>
    <t>Heilung Leben</t>
  </si>
  <si>
    <t xml:space="preserve">Life </t>
  </si>
  <si>
    <t>Mana</t>
  </si>
  <si>
    <t>mit allen Faktoren:</t>
  </si>
  <si>
    <t>nur mit TK/ES:</t>
  </si>
  <si>
    <t>Life</t>
  </si>
  <si>
    <t>optimales Verhältnis</t>
  </si>
  <si>
    <t>Ich hab xxxx viel Mana, wieviel Leben brauch ich nun?</t>
  </si>
  <si>
    <t xml:space="preserve">mit einem Manavorrat von </t>
  </si>
  <si>
    <t>ideal einen Leben/Mana - Vorrat von:</t>
  </si>
  <si>
    <t>Rüstung</t>
  </si>
  <si>
    <t>Helm</t>
  </si>
  <si>
    <t>Schild</t>
  </si>
  <si>
    <t>Gürtel</t>
  </si>
  <si>
    <t>Schuhe</t>
  </si>
  <si>
    <t>Handwärmer</t>
  </si>
  <si>
    <t>Waffe</t>
  </si>
  <si>
    <t>Amulett</t>
  </si>
  <si>
    <t>Ring#2</t>
  </si>
  <si>
    <t>Ring#1</t>
  </si>
  <si>
    <t>Anni</t>
  </si>
  <si>
    <t>Torch</t>
  </si>
  <si>
    <t>Charms</t>
  </si>
  <si>
    <t>Anya</t>
  </si>
  <si>
    <t>Feuerresis</t>
  </si>
  <si>
    <t>Kälteresis</t>
  </si>
  <si>
    <t>Blitzresis</t>
  </si>
  <si>
    <t>Giftresis</t>
  </si>
  <si>
    <t>Str</t>
  </si>
  <si>
    <t>Dex</t>
  </si>
  <si>
    <t>Vita</t>
  </si>
  <si>
    <t>Energie</t>
  </si>
  <si>
    <t>Stärke</t>
  </si>
  <si>
    <t>Geschick</t>
  </si>
  <si>
    <t>Vitalität</t>
  </si>
  <si>
    <t>Leben</t>
  </si>
  <si>
    <t>Leben/Clvl</t>
  </si>
  <si>
    <t>Mana/Clvl</t>
  </si>
  <si>
    <t>xx% Leben</t>
  </si>
  <si>
    <t>xx% Mana</t>
  </si>
  <si>
    <t>Gesamt</t>
  </si>
  <si>
    <t>absoluter Dmg red</t>
  </si>
  <si>
    <t>prozentualer Dmg red</t>
  </si>
  <si>
    <t>prozentualer Feuer Absorb</t>
  </si>
  <si>
    <t>absoluter Feuer Absorb</t>
  </si>
  <si>
    <t>prozentualer Kälte Absorb</t>
  </si>
  <si>
    <t>absoluter Kälte Absorb</t>
  </si>
  <si>
    <t>prozentualer Blitz Absorb</t>
  </si>
  <si>
    <t>absoluter Blitz Absorb</t>
  </si>
  <si>
    <t>absoluter Mdmg Absorb</t>
  </si>
  <si>
    <t>absolute Mdmg red</t>
  </si>
  <si>
    <t>prozentualer Mdmg red</t>
  </si>
  <si>
    <t>Skills</t>
  </si>
  <si>
    <t>CtA?</t>
  </si>
  <si>
    <t>=======&gt;</t>
  </si>
  <si>
    <t>Charlvl?</t>
  </si>
  <si>
    <t>Bo-%:</t>
  </si>
  <si>
    <t>maximales Mana</t>
  </si>
  <si>
    <t>maximales Life</t>
  </si>
  <si>
    <t>Akt3 Quest 1 gemacht (Norm, Alp, Hell)?</t>
  </si>
  <si>
    <t>Akt3 Quest 4 gemacht (Norm, Alp, Hell)?</t>
  </si>
  <si>
    <t>Schwierigkeitsgrad?</t>
  </si>
  <si>
    <t>freie Statpoints</t>
  </si>
  <si>
    <t>Anzahl der in Str investierte Punkte?</t>
  </si>
  <si>
    <t>Anzahl der in Vitalität investierten Punkte?</t>
  </si>
  <si>
    <t>Anzahl der in Dex investierte Punkte?</t>
  </si>
  <si>
    <t>Anzahl der in Energie investierten Punkte?</t>
  </si>
  <si>
    <t>Benötigtes Dex?</t>
  </si>
  <si>
    <t>Benötigte Str für Items? (inkl Str Bug):</t>
  </si>
  <si>
    <t>ohne Einberechnung der/des benötigten Str/Dex</t>
  </si>
  <si>
    <t>mit Einberechnung der/des benötigen Str/Dex</t>
  </si>
  <si>
    <t>Manareg%</t>
  </si>
  <si>
    <t>Liferep</t>
  </si>
  <si>
    <t>und den gemachten Angaben wäre es</t>
  </si>
  <si>
    <t>benötigte Statpoints in Vita, um die optimale Lifemenge zu erhalten:</t>
  </si>
  <si>
    <t>absolute Dmg red =</t>
  </si>
  <si>
    <t>nein</t>
  </si>
  <si>
    <t>norm</t>
  </si>
  <si>
    <t>Schild?</t>
  </si>
  <si>
    <t>Blockchance?</t>
  </si>
  <si>
    <t>Lebens Änderung</t>
  </si>
  <si>
    <t>zu haben.</t>
  </si>
  <si>
    <t>max Feuerresis</t>
  </si>
  <si>
    <t>max Kälteresis</t>
  </si>
  <si>
    <t>max Blitzresis</t>
  </si>
  <si>
    <t xml:space="preserve">Angriffe/Sek = </t>
  </si>
  <si>
    <t>Manaverbrauch pro cast:</t>
  </si>
  <si>
    <t xml:space="preserve">Castdelay in Sek. = </t>
  </si>
  <si>
    <t>Manareg/Sek =</t>
  </si>
  <si>
    <t>Level von</t>
  </si>
  <si>
    <t>Fcr</t>
  </si>
  <si>
    <t>Fcr in %</t>
  </si>
  <si>
    <t>Manaverbrauch/Sek ohne Manareg</t>
  </si>
  <si>
    <t>Manaverbrauch/Sek mit Manareg</t>
  </si>
  <si>
    <t>Sekunden bis Mana leer ist:</t>
  </si>
  <si>
    <t>benutzter Zauber?</t>
  </si>
  <si>
    <t>Wieviele Schläge halte ich aus?</t>
  </si>
  <si>
    <t>max Mana</t>
  </si>
  <si>
    <t>max Life</t>
  </si>
  <si>
    <t>Leben ist zu wieviel % voll?</t>
  </si>
  <si>
    <t>Mana ist zu wieviel % voll?</t>
  </si>
  <si>
    <t>noch vorandenes Life</t>
  </si>
  <si>
    <t>noch vorhandes Mana</t>
  </si>
  <si>
    <t>mit den gemachten Daten hält man noch</t>
  </si>
  <si>
    <t>Schläge aus, bevor man stirbt</t>
  </si>
  <si>
    <t>benötigte Treffer bis zum Tod</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</si>
</sst>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0.0"/>
    <numFmt numFmtId="169" formatCode="?/100"/>
    <numFmt numFmtId="170" formatCode="0.000000000000000000000000000000"/>
    <numFmt numFmtId="171" formatCode="0.000000000000"/>
    <numFmt numFmtId="172" formatCode="0.00000"/>
    <numFmt numFmtId="173" formatCode="0.00000000"/>
  </numFmts>
  <fonts count="18">
    <font>
      <sz val="10"/>
      <name val="Arial"/>
      <family val="0"/>
    </font>
    <font>
      <sz val="8"/>
      <name val="Arial"/>
      <family val="0"/>
    </font>
    <font>
      <sz val="10"/>
      <name val="Verdana"/>
      <family val="2"/>
    </font>
    <font>
      <b/>
      <i/>
      <u val="single"/>
      <sz val="14"/>
      <color indexed="14"/>
      <name val="Arial"/>
      <family val="2"/>
    </font>
    <font>
      <b/>
      <i/>
      <u val="single"/>
      <sz val="12"/>
      <name val="Arial"/>
      <family val="2"/>
    </font>
    <font>
      <b/>
      <i/>
      <sz val="12"/>
      <name val="Arial"/>
      <family val="2"/>
    </font>
    <font>
      <b/>
      <i/>
      <sz val="10"/>
      <color indexed="10"/>
      <name val="Arial"/>
      <family val="2"/>
    </font>
    <font>
      <b/>
      <i/>
      <sz val="10"/>
      <name val="Arial"/>
      <family val="2"/>
    </font>
    <font>
      <b/>
      <i/>
      <sz val="10"/>
      <color indexed="12"/>
      <name val="Arial"/>
      <family val="2"/>
    </font>
    <font>
      <b/>
      <sz val="8"/>
      <name val="Tahoma"/>
      <family val="0"/>
    </font>
    <font>
      <b/>
      <i/>
      <u val="single"/>
      <sz val="12"/>
      <color indexed="53"/>
      <name val="Arial"/>
      <family val="2"/>
    </font>
    <font>
      <sz val="10"/>
      <color indexed="9"/>
      <name val="Arial"/>
      <family val="0"/>
    </font>
    <font>
      <sz val="16"/>
      <color indexed="14"/>
      <name val="Times New Roman"/>
      <family val="1"/>
    </font>
    <font>
      <sz val="10"/>
      <color indexed="14"/>
      <name val="Arial"/>
      <family val="0"/>
    </font>
    <font>
      <i/>
      <sz val="14"/>
      <color indexed="14"/>
      <name val="Times New Roman"/>
      <family val="1"/>
    </font>
    <font>
      <i/>
      <sz val="10"/>
      <name val="Arial"/>
      <family val="0"/>
    </font>
    <font>
      <sz val="10"/>
      <color indexed="10"/>
      <name val="Arial"/>
      <family val="0"/>
    </font>
    <font>
      <b/>
      <sz val="8"/>
      <name val="Arial"/>
      <family val="2"/>
    </font>
  </fonts>
  <fills count="14">
    <fill>
      <patternFill/>
    </fill>
    <fill>
      <patternFill patternType="gray125"/>
    </fill>
    <fill>
      <patternFill patternType="solid">
        <fgColor indexed="42"/>
        <bgColor indexed="64"/>
      </patternFill>
    </fill>
    <fill>
      <patternFill patternType="solid">
        <fgColor indexed="10"/>
        <bgColor indexed="64"/>
      </patternFill>
    </fill>
    <fill>
      <patternFill patternType="solid">
        <fgColor indexed="13"/>
        <bgColor indexed="64"/>
      </patternFill>
    </fill>
    <fill>
      <patternFill patternType="solid">
        <fgColor indexed="51"/>
        <bgColor indexed="64"/>
      </patternFill>
    </fill>
    <fill>
      <patternFill patternType="solid">
        <fgColor indexed="43"/>
        <bgColor indexed="64"/>
      </patternFill>
    </fill>
    <fill>
      <patternFill patternType="solid">
        <fgColor indexed="46"/>
        <bgColor indexed="64"/>
      </patternFill>
    </fill>
    <fill>
      <patternFill patternType="solid">
        <fgColor indexed="14"/>
        <bgColor indexed="64"/>
      </patternFill>
    </fill>
    <fill>
      <patternFill patternType="solid">
        <fgColor indexed="45"/>
        <bgColor indexed="64"/>
      </patternFill>
    </fill>
    <fill>
      <patternFill patternType="solid">
        <fgColor indexed="48"/>
        <bgColor indexed="64"/>
      </patternFill>
    </fill>
    <fill>
      <patternFill patternType="solid">
        <fgColor indexed="12"/>
        <bgColor indexed="64"/>
      </patternFill>
    </fill>
    <fill>
      <patternFill patternType="solid">
        <fgColor indexed="11"/>
        <bgColor indexed="64"/>
      </patternFill>
    </fill>
    <fill>
      <patternFill patternType="solid">
        <fgColor indexed="41"/>
        <bgColor indexed="64"/>
      </patternFill>
    </fill>
  </fills>
  <borders count="45">
    <border>
      <left/>
      <right/>
      <top/>
      <bottom/>
      <diagonal/>
    </border>
    <border>
      <left style="thin">
        <color indexed="22"/>
      </left>
      <right style="thin">
        <color indexed="22"/>
      </right>
      <top style="thin">
        <color indexed="22"/>
      </top>
      <bottom style="thin">
        <color indexed="22"/>
      </bottom>
    </border>
    <border>
      <left style="thin">
        <color indexed="22"/>
      </left>
      <right style="dashed">
        <color indexed="22"/>
      </right>
      <top style="dashed">
        <color indexed="22"/>
      </top>
      <bottom style="dashed">
        <color indexed="22"/>
      </bottom>
    </border>
    <border>
      <left style="dashed">
        <color indexed="22"/>
      </left>
      <right style="dashed">
        <color indexed="22"/>
      </right>
      <top style="dashed">
        <color indexed="22"/>
      </top>
      <bottom style="dashed">
        <color indexed="22"/>
      </bottom>
    </border>
    <border>
      <left style="dashed">
        <color indexed="22"/>
      </left>
      <right style="thin">
        <color indexed="22"/>
      </right>
      <top style="dashed">
        <color indexed="22"/>
      </top>
      <bottom style="dashed">
        <color indexed="22"/>
      </bottom>
    </border>
    <border>
      <left>
        <color indexed="63"/>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style="thin">
        <color indexed="22"/>
      </right>
      <top>
        <color indexed="63"/>
      </top>
      <bottom>
        <color indexed="63"/>
      </bottom>
    </border>
    <border>
      <left>
        <color indexed="63"/>
      </left>
      <right style="dashed">
        <color indexed="22"/>
      </right>
      <top style="dashed">
        <color indexed="22"/>
      </top>
      <bottom style="dashed">
        <color indexed="22"/>
      </bottom>
    </border>
    <border>
      <left style="thin">
        <color indexed="22"/>
      </left>
      <right style="thin">
        <color indexed="22"/>
      </right>
      <top style="dashed">
        <color indexed="22"/>
      </top>
      <bottom style="dashed">
        <color indexed="22"/>
      </bottom>
    </border>
    <border>
      <left style="dashed">
        <color indexed="22"/>
      </left>
      <right style="thin">
        <color indexed="22"/>
      </right>
      <top>
        <color indexed="63"/>
      </top>
      <bottom>
        <color indexed="63"/>
      </bottom>
    </border>
    <border>
      <left>
        <color indexed="63"/>
      </left>
      <right>
        <color indexed="63"/>
      </right>
      <top style="dashed">
        <color indexed="22"/>
      </top>
      <bottom style="dashed">
        <color indexed="22"/>
      </bottom>
    </border>
    <border>
      <left>
        <color indexed="63"/>
      </left>
      <right>
        <color indexed="63"/>
      </right>
      <top style="dashed">
        <color indexed="22"/>
      </top>
      <bottom>
        <color indexed="63"/>
      </bottom>
    </border>
    <border>
      <left>
        <color indexed="63"/>
      </left>
      <right>
        <color indexed="63"/>
      </right>
      <top style="medium"/>
      <bottom style="double"/>
    </border>
    <border>
      <left>
        <color indexed="63"/>
      </left>
      <right>
        <color indexed="63"/>
      </right>
      <top style="thin"/>
      <bottom style="dashed">
        <color indexed="22"/>
      </bottom>
    </border>
    <border>
      <left style="dashed">
        <color indexed="22"/>
      </left>
      <right>
        <color indexed="63"/>
      </right>
      <top style="dashed">
        <color indexed="22"/>
      </top>
      <bottom style="dashed">
        <color indexed="22"/>
      </bottom>
    </border>
    <border>
      <left style="dashed">
        <color indexed="22"/>
      </left>
      <right>
        <color indexed="63"/>
      </right>
      <top style="dashed">
        <color indexed="22"/>
      </top>
      <bottom>
        <color indexed="63"/>
      </bottom>
    </border>
    <border>
      <left style="dashed">
        <color indexed="22"/>
      </left>
      <right>
        <color indexed="63"/>
      </right>
      <top>
        <color indexed="63"/>
      </top>
      <bottom style="dashed">
        <color indexed="22"/>
      </bottom>
    </border>
    <border>
      <left>
        <color indexed="63"/>
      </left>
      <right>
        <color indexed="63"/>
      </right>
      <top>
        <color indexed="63"/>
      </top>
      <bottom style="dashed">
        <color indexed="22"/>
      </bottom>
    </border>
    <border>
      <left style="dashed">
        <color indexed="22"/>
      </left>
      <right style="dashed">
        <color indexed="22"/>
      </right>
      <top style="dashed">
        <color indexed="22"/>
      </top>
      <bottom>
        <color indexed="63"/>
      </bottom>
    </border>
    <border>
      <left style="dashed">
        <color indexed="22"/>
      </left>
      <right style="dashed">
        <color indexed="22"/>
      </right>
      <top>
        <color indexed="63"/>
      </top>
      <bottom style="dashed">
        <color indexed="22"/>
      </bottom>
    </border>
    <border>
      <left style="dashed">
        <color indexed="22"/>
      </left>
      <right>
        <color indexed="63"/>
      </right>
      <top>
        <color indexed="63"/>
      </top>
      <bottom>
        <color indexed="63"/>
      </bottom>
    </border>
    <border>
      <left style="dashed">
        <color indexed="22"/>
      </left>
      <right style="dashed">
        <color indexed="22"/>
      </right>
      <top>
        <color indexed="63"/>
      </top>
      <bottom>
        <color indexed="63"/>
      </bottom>
    </border>
    <border>
      <left style="medium"/>
      <right style="dashed">
        <color indexed="22"/>
      </right>
      <top>
        <color indexed="63"/>
      </top>
      <bottom>
        <color indexed="63"/>
      </bottom>
    </border>
    <border>
      <left style="medium"/>
      <right style="dashed">
        <color indexed="22"/>
      </right>
      <top style="thin"/>
      <bottom style="dashed">
        <color indexed="22"/>
      </bottom>
    </border>
    <border>
      <left style="dashed">
        <color indexed="22"/>
      </left>
      <right style="dashed">
        <color indexed="22"/>
      </right>
      <top style="thin"/>
      <bottom style="dashed">
        <color indexed="22"/>
      </bottom>
    </border>
    <border>
      <left style="dashed">
        <color indexed="22"/>
      </left>
      <right>
        <color indexed="63"/>
      </right>
      <top style="thin"/>
      <bottom style="dashed">
        <color indexed="22"/>
      </bottom>
    </border>
    <border>
      <left style="medium"/>
      <right style="dashed">
        <color indexed="22"/>
      </right>
      <top style="dashed">
        <color indexed="22"/>
      </top>
      <bottom style="dashed">
        <color indexed="22"/>
      </bottom>
    </border>
    <border>
      <left style="medium"/>
      <right style="dashed">
        <color indexed="22"/>
      </right>
      <top style="dashed">
        <color indexed="22"/>
      </top>
      <bottom>
        <color indexed="63"/>
      </bottom>
    </border>
    <border>
      <left style="medium"/>
      <right style="dashed">
        <color indexed="22"/>
      </right>
      <top style="medium"/>
      <bottom style="double"/>
    </border>
    <border>
      <left style="dashed">
        <color indexed="22"/>
      </left>
      <right style="dashed">
        <color indexed="22"/>
      </right>
      <top style="medium"/>
      <bottom style="double"/>
    </border>
    <border>
      <left style="dashed">
        <color indexed="22"/>
      </left>
      <right>
        <color indexed="63"/>
      </right>
      <top style="medium"/>
      <bottom style="double"/>
    </border>
    <border>
      <left>
        <color indexed="63"/>
      </left>
      <right style="dashed">
        <color indexed="22"/>
      </right>
      <top style="dashed">
        <color indexed="22"/>
      </top>
      <bottom>
        <color indexed="63"/>
      </bottom>
    </border>
    <border>
      <left style="dashed">
        <color indexed="22"/>
      </left>
      <right style="dashed">
        <color indexed="22"/>
      </right>
      <top style="dashed">
        <color indexed="22"/>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color indexed="22"/>
      </left>
      <right style="dashed">
        <color indexed="22"/>
      </right>
      <top style="thin">
        <color indexed="22"/>
      </top>
      <bottom style="dashed">
        <color indexed="22"/>
      </bottom>
    </border>
    <border>
      <left style="dashed">
        <color indexed="22"/>
      </left>
      <right style="dashed">
        <color indexed="22"/>
      </right>
      <top style="thin">
        <color indexed="22"/>
      </top>
      <bottom style="dashed">
        <color indexed="22"/>
      </bottom>
    </border>
    <border>
      <left style="dashed">
        <color indexed="22"/>
      </left>
      <right style="thin">
        <color indexed="22"/>
      </right>
      <top style="thin">
        <color indexed="22"/>
      </top>
      <bottom style="dashed">
        <color indexed="22"/>
      </bottom>
    </border>
    <border>
      <left style="dashed">
        <color indexed="22"/>
      </left>
      <right style="dashed">
        <color indexed="22"/>
      </right>
      <top style="thin">
        <color indexed="22"/>
      </top>
      <bottom style="thin"/>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2">
    <xf numFmtId="0" fontId="0" fillId="0" borderId="0" xfId="0" applyAlignment="1">
      <alignment/>
    </xf>
    <xf numFmtId="0" fontId="0" fillId="0" borderId="0" xfId="0" applyAlignment="1" quotePrefix="1">
      <alignment/>
    </xf>
    <xf numFmtId="0" fontId="0" fillId="0" borderId="1" xfId="0" applyBorder="1" applyAlignment="1">
      <alignment/>
    </xf>
    <xf numFmtId="0" fontId="0" fillId="2" borderId="2" xfId="0" applyFill="1" applyBorder="1" applyAlignment="1">
      <alignment/>
    </xf>
    <xf numFmtId="0" fontId="0" fillId="3" borderId="3" xfId="0" applyFill="1" applyBorder="1" applyAlignment="1">
      <alignment horizontal="center"/>
    </xf>
    <xf numFmtId="0" fontId="0" fillId="4" borderId="3" xfId="0" applyFill="1" applyBorder="1" applyAlignment="1">
      <alignment horizontal="center"/>
    </xf>
    <xf numFmtId="0" fontId="0" fillId="5" borderId="3" xfId="0" applyFill="1" applyBorder="1" applyAlignment="1">
      <alignment horizontal="center"/>
    </xf>
    <xf numFmtId="0" fontId="0" fillId="6" borderId="4" xfId="0" applyFill="1" applyBorder="1" applyAlignment="1">
      <alignment horizontal="center"/>
    </xf>
    <xf numFmtId="0" fontId="0" fillId="2" borderId="3" xfId="0" applyFill="1" applyBorder="1" applyAlignment="1">
      <alignment/>
    </xf>
    <xf numFmtId="0" fontId="0" fillId="0" borderId="5" xfId="0" applyBorder="1" applyAlignment="1">
      <alignment/>
    </xf>
    <xf numFmtId="0" fontId="0" fillId="7" borderId="4" xfId="0" applyFill="1" applyBorder="1" applyAlignment="1">
      <alignment horizontal="center"/>
    </xf>
    <xf numFmtId="0" fontId="0" fillId="0" borderId="0" xfId="0" applyAlignment="1">
      <alignment horizontal="center"/>
    </xf>
    <xf numFmtId="0" fontId="0" fillId="8" borderId="4" xfId="0" applyFill="1" applyBorder="1" applyAlignment="1">
      <alignment horizontal="center"/>
    </xf>
    <xf numFmtId="0" fontId="0" fillId="9" borderId="3" xfId="0" applyFill="1" applyBorder="1" applyAlignment="1">
      <alignment/>
    </xf>
    <xf numFmtId="0" fontId="0" fillId="0" borderId="6" xfId="0" applyBorder="1" applyAlignment="1">
      <alignment/>
    </xf>
    <xf numFmtId="0" fontId="0" fillId="9" borderId="2" xfId="0" applyFill="1" applyBorder="1" applyAlignment="1">
      <alignment/>
    </xf>
    <xf numFmtId="0" fontId="0" fillId="0" borderId="0" xfId="0" applyBorder="1" applyAlignment="1">
      <alignment/>
    </xf>
    <xf numFmtId="0" fontId="0" fillId="10" borderId="7" xfId="0" applyFill="1" applyBorder="1" applyAlignment="1">
      <alignment horizontal="center"/>
    </xf>
    <xf numFmtId="0" fontId="0" fillId="3" borderId="0" xfId="0" applyFill="1" applyBorder="1" applyAlignment="1">
      <alignment horizontal="center"/>
    </xf>
    <xf numFmtId="0" fontId="0" fillId="4" borderId="7" xfId="0" applyFill="1" applyBorder="1" applyAlignment="1">
      <alignment horizontal="center"/>
    </xf>
    <xf numFmtId="0" fontId="0" fillId="5" borderId="0" xfId="0" applyFill="1" applyBorder="1" applyAlignment="1">
      <alignment horizontal="center"/>
    </xf>
    <xf numFmtId="0" fontId="0" fillId="6" borderId="7" xfId="0" applyFill="1" applyBorder="1" applyAlignment="1">
      <alignment horizontal="center"/>
    </xf>
    <xf numFmtId="0" fontId="0" fillId="10" borderId="8" xfId="0" applyFill="1" applyBorder="1" applyAlignment="1">
      <alignment horizontal="center"/>
    </xf>
    <xf numFmtId="1" fontId="0" fillId="10" borderId="8" xfId="0" applyNumberFormat="1" applyFill="1" applyBorder="1" applyAlignment="1">
      <alignment horizontal="center"/>
    </xf>
    <xf numFmtId="0" fontId="0" fillId="9" borderId="9" xfId="0" applyFill="1" applyBorder="1" applyAlignment="1">
      <alignment/>
    </xf>
    <xf numFmtId="0" fontId="0" fillId="11" borderId="9" xfId="0" applyFill="1" applyBorder="1" applyAlignment="1">
      <alignment/>
    </xf>
    <xf numFmtId="0" fontId="0" fillId="3" borderId="9" xfId="0" applyFill="1" applyBorder="1" applyAlignment="1">
      <alignment/>
    </xf>
    <xf numFmtId="0" fontId="0" fillId="8" borderId="9" xfId="0" applyFill="1" applyBorder="1" applyAlignment="1">
      <alignment/>
    </xf>
    <xf numFmtId="0" fontId="0" fillId="10" borderId="0" xfId="0" applyFill="1" applyAlignment="1">
      <alignment horizontal="center"/>
    </xf>
    <xf numFmtId="1" fontId="0" fillId="0" borderId="0" xfId="0" applyNumberFormat="1" applyAlignment="1">
      <alignment/>
    </xf>
    <xf numFmtId="0" fontId="0" fillId="0" borderId="10" xfId="0" applyFill="1" applyBorder="1" applyAlignment="1">
      <alignment horizontal="center"/>
    </xf>
    <xf numFmtId="0" fontId="2" fillId="0" borderId="0" xfId="0" applyFont="1" applyAlignment="1">
      <alignment horizontal="center" wrapText="1"/>
    </xf>
    <xf numFmtId="1" fontId="0" fillId="3" borderId="3" xfId="0" applyNumberFormat="1" applyFill="1" applyBorder="1" applyAlignment="1">
      <alignment horizontal="center"/>
    </xf>
    <xf numFmtId="1" fontId="0" fillId="4" borderId="3" xfId="0" applyNumberFormat="1" applyFill="1" applyBorder="1" applyAlignment="1">
      <alignment horizontal="center"/>
    </xf>
    <xf numFmtId="0" fontId="3" fillId="0" borderId="0" xfId="0" applyFont="1" applyAlignment="1">
      <alignment/>
    </xf>
    <xf numFmtId="0" fontId="5" fillId="0" borderId="0" xfId="0" applyFont="1" applyAlignment="1">
      <alignment/>
    </xf>
    <xf numFmtId="0" fontId="4" fillId="0" borderId="0" xfId="0" applyFont="1" applyAlignment="1">
      <alignment/>
    </xf>
    <xf numFmtId="0" fontId="4" fillId="0" borderId="0" xfId="0" applyFont="1" applyAlignment="1">
      <alignment horizontal="left"/>
    </xf>
    <xf numFmtId="0" fontId="7" fillId="0" borderId="0" xfId="0" applyFont="1" applyFill="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3" xfId="0" applyFill="1" applyBorder="1" applyAlignment="1">
      <alignment/>
    </xf>
    <xf numFmtId="0" fontId="0" fillId="0" borderId="14" xfId="0" applyBorder="1" applyAlignment="1">
      <alignment/>
    </xf>
    <xf numFmtId="0" fontId="0" fillId="9" borderId="11" xfId="0" applyFill="1" applyBorder="1" applyAlignment="1">
      <alignment/>
    </xf>
    <xf numFmtId="0" fontId="0" fillId="9" borderId="12" xfId="0" applyFill="1" applyBorder="1" applyAlignment="1">
      <alignment/>
    </xf>
    <xf numFmtId="0" fontId="0" fillId="2" borderId="0" xfId="0" applyFill="1" applyAlignment="1">
      <alignment/>
    </xf>
    <xf numFmtId="0" fontId="0" fillId="7" borderId="0" xfId="0" applyFill="1" applyAlignment="1">
      <alignment horizontal="center"/>
    </xf>
    <xf numFmtId="0" fontId="0" fillId="2" borderId="15" xfId="0" applyFill="1" applyBorder="1" applyAlignment="1">
      <alignment/>
    </xf>
    <xf numFmtId="0" fontId="0" fillId="2" borderId="11" xfId="0" applyFill="1" applyBorder="1" applyAlignment="1">
      <alignment/>
    </xf>
    <xf numFmtId="0" fontId="0" fillId="9" borderId="11" xfId="0" applyFill="1" applyBorder="1" applyAlignment="1" quotePrefix="1">
      <alignment/>
    </xf>
    <xf numFmtId="0" fontId="0" fillId="2" borderId="16" xfId="0" applyFill="1" applyBorder="1" applyAlignment="1">
      <alignment/>
    </xf>
    <xf numFmtId="0" fontId="0" fillId="2" borderId="12" xfId="0" applyFill="1" applyBorder="1" applyAlignment="1">
      <alignment/>
    </xf>
    <xf numFmtId="0" fontId="0" fillId="2" borderId="17" xfId="0" applyFill="1" applyBorder="1" applyAlignment="1">
      <alignment/>
    </xf>
    <xf numFmtId="0" fontId="0" fillId="2" borderId="18" xfId="0" applyFill="1" applyBorder="1" applyAlignment="1">
      <alignment/>
    </xf>
    <xf numFmtId="0" fontId="0" fillId="7" borderId="3" xfId="0" applyFill="1" applyBorder="1" applyAlignment="1">
      <alignment horizontal="center"/>
    </xf>
    <xf numFmtId="0" fontId="0" fillId="7" borderId="19" xfId="0" applyFill="1" applyBorder="1" applyAlignment="1">
      <alignment horizontal="center"/>
    </xf>
    <xf numFmtId="0" fontId="0" fillId="7" borderId="20" xfId="0" applyFill="1" applyBorder="1" applyAlignment="1">
      <alignment horizontal="center"/>
    </xf>
    <xf numFmtId="0" fontId="0" fillId="8" borderId="3" xfId="0" applyFill="1" applyBorder="1" applyAlignment="1">
      <alignment horizontal="center"/>
    </xf>
    <xf numFmtId="0" fontId="0" fillId="2" borderId="0" xfId="0" applyFill="1" applyBorder="1" applyAlignment="1">
      <alignment/>
    </xf>
    <xf numFmtId="0" fontId="0" fillId="2" borderId="21" xfId="0" applyFill="1" applyBorder="1" applyAlignment="1">
      <alignment/>
    </xf>
    <xf numFmtId="0" fontId="0" fillId="9" borderId="11" xfId="0" applyFill="1" applyBorder="1" applyAlignment="1">
      <alignment horizontal="center"/>
    </xf>
    <xf numFmtId="0" fontId="0" fillId="7" borderId="22" xfId="0" applyFill="1" applyBorder="1" applyAlignment="1">
      <alignment horizontal="center"/>
    </xf>
    <xf numFmtId="0" fontId="0" fillId="3" borderId="23" xfId="0" applyFill="1" applyBorder="1" applyAlignment="1">
      <alignment horizontal="center"/>
    </xf>
    <xf numFmtId="0" fontId="0" fillId="10" borderId="22" xfId="0" applyFill="1" applyBorder="1" applyAlignment="1">
      <alignment horizontal="center"/>
    </xf>
    <xf numFmtId="0" fontId="0" fillId="4" borderId="22" xfId="0" applyFill="1" applyBorder="1" applyAlignment="1">
      <alignment horizontal="center"/>
    </xf>
    <xf numFmtId="0" fontId="0" fillId="12" borderId="22" xfId="0" applyFill="1" applyBorder="1" applyAlignment="1">
      <alignment horizontal="center"/>
    </xf>
    <xf numFmtId="0" fontId="0" fillId="6" borderId="22" xfId="0" applyFill="1" applyBorder="1" applyAlignment="1">
      <alignment horizontal="center"/>
    </xf>
    <xf numFmtId="0" fontId="0" fillId="2" borderId="22" xfId="0" applyFill="1" applyBorder="1" applyAlignment="1">
      <alignment horizontal="center"/>
    </xf>
    <xf numFmtId="0" fontId="0" fillId="3" borderId="22" xfId="0" applyFill="1" applyBorder="1" applyAlignment="1">
      <alignment horizontal="center"/>
    </xf>
    <xf numFmtId="0" fontId="0" fillId="10" borderId="21" xfId="0" applyFill="1" applyBorder="1" applyAlignment="1">
      <alignment horizontal="center"/>
    </xf>
    <xf numFmtId="0" fontId="0" fillId="3" borderId="24" xfId="0" applyFill="1" applyBorder="1" applyAlignment="1">
      <alignment horizontal="center"/>
    </xf>
    <xf numFmtId="0" fontId="0" fillId="10" borderId="25" xfId="0" applyFill="1" applyBorder="1" applyAlignment="1">
      <alignment horizontal="center"/>
    </xf>
    <xf numFmtId="0" fontId="0" fillId="4" borderId="25" xfId="0" applyFill="1" applyBorder="1" applyAlignment="1">
      <alignment horizontal="center"/>
    </xf>
    <xf numFmtId="0" fontId="0" fillId="12" borderId="25" xfId="0" applyFill="1" applyBorder="1" applyAlignment="1">
      <alignment horizontal="center"/>
    </xf>
    <xf numFmtId="0" fontId="0" fillId="6" borderId="25" xfId="0" applyFill="1" applyBorder="1" applyAlignment="1">
      <alignment horizontal="center"/>
    </xf>
    <xf numFmtId="0" fontId="0" fillId="2" borderId="25" xfId="0" applyFill="1" applyBorder="1" applyAlignment="1">
      <alignment horizontal="center"/>
    </xf>
    <xf numFmtId="0" fontId="0" fillId="3" borderId="25" xfId="0" applyFill="1" applyBorder="1" applyAlignment="1">
      <alignment horizontal="center"/>
    </xf>
    <xf numFmtId="0" fontId="0" fillId="10" borderId="26" xfId="0" applyFill="1" applyBorder="1" applyAlignment="1">
      <alignment horizontal="center"/>
    </xf>
    <xf numFmtId="0" fontId="0" fillId="3" borderId="27" xfId="0" applyFill="1" applyBorder="1" applyAlignment="1">
      <alignment horizontal="center"/>
    </xf>
    <xf numFmtId="0" fontId="0" fillId="10" borderId="3" xfId="0" applyFill="1" applyBorder="1" applyAlignment="1">
      <alignment horizontal="center"/>
    </xf>
    <xf numFmtId="0" fontId="0" fillId="12" borderId="3" xfId="0" applyFill="1" applyBorder="1" applyAlignment="1">
      <alignment horizontal="center"/>
    </xf>
    <xf numFmtId="0" fontId="0" fillId="6" borderId="3" xfId="0" applyFill="1" applyBorder="1" applyAlignment="1">
      <alignment horizontal="center"/>
    </xf>
    <xf numFmtId="0" fontId="0" fillId="2" borderId="3" xfId="0" applyFill="1" applyBorder="1" applyAlignment="1">
      <alignment horizontal="center"/>
    </xf>
    <xf numFmtId="0" fontId="0" fillId="10" borderId="15" xfId="0" applyFill="1" applyBorder="1" applyAlignment="1">
      <alignment horizontal="center"/>
    </xf>
    <xf numFmtId="0" fontId="0" fillId="3" borderId="28" xfId="0" applyFill="1" applyBorder="1" applyAlignment="1">
      <alignment horizontal="center"/>
    </xf>
    <xf numFmtId="0" fontId="0" fillId="10" borderId="19" xfId="0" applyFill="1" applyBorder="1" applyAlignment="1">
      <alignment horizontal="center"/>
    </xf>
    <xf numFmtId="0" fontId="0" fillId="4" borderId="19" xfId="0" applyFill="1" applyBorder="1" applyAlignment="1">
      <alignment horizontal="center"/>
    </xf>
    <xf numFmtId="0" fontId="0" fillId="12" borderId="19" xfId="0" applyFill="1" applyBorder="1" applyAlignment="1">
      <alignment horizontal="center"/>
    </xf>
    <xf numFmtId="0" fontId="0" fillId="6" borderId="19" xfId="0" applyFill="1" applyBorder="1" applyAlignment="1">
      <alignment horizontal="center"/>
    </xf>
    <xf numFmtId="0" fontId="0" fillId="2" borderId="19" xfId="0" applyFill="1" applyBorder="1" applyAlignment="1">
      <alignment horizontal="center"/>
    </xf>
    <xf numFmtId="0" fontId="0" fillId="3" borderId="19" xfId="0" applyFill="1" applyBorder="1" applyAlignment="1">
      <alignment horizontal="center"/>
    </xf>
    <xf numFmtId="0" fontId="0" fillId="10" borderId="16" xfId="0" applyFill="1" applyBorder="1" applyAlignment="1">
      <alignment horizontal="center"/>
    </xf>
    <xf numFmtId="0" fontId="0" fillId="3" borderId="29" xfId="0" applyFill="1" applyBorder="1" applyAlignment="1">
      <alignment horizontal="center"/>
    </xf>
    <xf numFmtId="0" fontId="0" fillId="10" borderId="30" xfId="0" applyFill="1" applyBorder="1" applyAlignment="1">
      <alignment horizontal="center"/>
    </xf>
    <xf numFmtId="0" fontId="0" fillId="4" borderId="30" xfId="0" applyFill="1" applyBorder="1" applyAlignment="1">
      <alignment horizontal="center"/>
    </xf>
    <xf numFmtId="0" fontId="0" fillId="12" borderId="30" xfId="0" applyFill="1" applyBorder="1" applyAlignment="1">
      <alignment horizontal="center"/>
    </xf>
    <xf numFmtId="0" fontId="0" fillId="6" borderId="30" xfId="0" applyFill="1" applyBorder="1" applyAlignment="1">
      <alignment horizontal="center"/>
    </xf>
    <xf numFmtId="0" fontId="0" fillId="2" borderId="30" xfId="0" applyFill="1" applyBorder="1" applyAlignment="1">
      <alignment horizontal="center"/>
    </xf>
    <xf numFmtId="0" fontId="0" fillId="3" borderId="30" xfId="0" applyFill="1" applyBorder="1" applyAlignment="1">
      <alignment horizontal="center"/>
    </xf>
    <xf numFmtId="0" fontId="0" fillId="10" borderId="31" xfId="0" applyFill="1" applyBorder="1" applyAlignment="1">
      <alignment horizontal="center"/>
    </xf>
    <xf numFmtId="0" fontId="0" fillId="6" borderId="23" xfId="0" applyFill="1" applyBorder="1" applyAlignment="1">
      <alignment horizontal="center" vertical="top" wrapText="1"/>
    </xf>
    <xf numFmtId="0" fontId="0" fillId="6" borderId="22" xfId="0" applyFill="1" applyBorder="1" applyAlignment="1">
      <alignment horizontal="center" vertical="top" wrapText="1"/>
    </xf>
    <xf numFmtId="0" fontId="0" fillId="3" borderId="22" xfId="0" applyFill="1" applyBorder="1" applyAlignment="1">
      <alignment horizontal="center" vertical="top" wrapText="1"/>
    </xf>
    <xf numFmtId="0" fontId="0" fillId="10" borderId="22" xfId="0" applyFill="1" applyBorder="1" applyAlignment="1">
      <alignment horizontal="center" vertical="top" wrapText="1"/>
    </xf>
    <xf numFmtId="0" fontId="0" fillId="4" borderId="22" xfId="0" applyFill="1" applyBorder="1" applyAlignment="1">
      <alignment horizontal="center" vertical="top" wrapText="1"/>
    </xf>
    <xf numFmtId="0" fontId="0" fillId="5" borderId="22" xfId="0" applyFill="1" applyBorder="1" applyAlignment="1">
      <alignment horizontal="center" vertical="top" wrapText="1"/>
    </xf>
    <xf numFmtId="0" fontId="0" fillId="5" borderId="21" xfId="0" applyFill="1" applyBorder="1" applyAlignment="1">
      <alignment horizontal="center" vertical="top" wrapText="1"/>
    </xf>
    <xf numFmtId="0" fontId="0" fillId="9" borderId="21" xfId="0" applyFill="1" applyBorder="1" applyAlignment="1">
      <alignment horizontal="center" vertical="top" wrapText="1"/>
    </xf>
    <xf numFmtId="0" fontId="0" fillId="6" borderId="24" xfId="0" applyFill="1" applyBorder="1" applyAlignment="1">
      <alignment horizontal="center"/>
    </xf>
    <xf numFmtId="0" fontId="0" fillId="5" borderId="25" xfId="0" applyFill="1" applyBorder="1" applyAlignment="1">
      <alignment horizontal="center"/>
    </xf>
    <xf numFmtId="0" fontId="0" fillId="5" borderId="26" xfId="0" applyFill="1" applyBorder="1" applyAlignment="1">
      <alignment horizontal="center"/>
    </xf>
    <xf numFmtId="0" fontId="0" fillId="9" borderId="14" xfId="0" applyFill="1" applyBorder="1" applyAlignment="1">
      <alignment horizontal="center"/>
    </xf>
    <xf numFmtId="0" fontId="0" fillId="6" borderId="27" xfId="0" applyFill="1" applyBorder="1" applyAlignment="1">
      <alignment horizontal="center"/>
    </xf>
    <xf numFmtId="0" fontId="0" fillId="5" borderId="15" xfId="0" applyFill="1" applyBorder="1" applyAlignment="1">
      <alignment horizontal="center"/>
    </xf>
    <xf numFmtId="0" fontId="0" fillId="9" borderId="11" xfId="0" applyFill="1" applyBorder="1" applyAlignment="1">
      <alignment horizontal="center" vertical="top" wrapText="1"/>
    </xf>
    <xf numFmtId="0" fontId="0" fillId="6" borderId="28" xfId="0" applyFill="1" applyBorder="1" applyAlignment="1">
      <alignment horizontal="center"/>
    </xf>
    <xf numFmtId="0" fontId="0" fillId="5" borderId="19" xfId="0" applyFill="1" applyBorder="1" applyAlignment="1">
      <alignment horizontal="center"/>
    </xf>
    <xf numFmtId="0" fontId="0" fillId="5" borderId="16" xfId="0" applyFill="1" applyBorder="1" applyAlignment="1">
      <alignment horizontal="center"/>
    </xf>
    <xf numFmtId="0" fontId="0" fillId="9" borderId="12" xfId="0" applyFill="1" applyBorder="1" applyAlignment="1">
      <alignment horizontal="center"/>
    </xf>
    <xf numFmtId="0" fontId="0" fillId="6" borderId="29" xfId="0" applyFill="1" applyBorder="1" applyAlignment="1">
      <alignment horizontal="center"/>
    </xf>
    <xf numFmtId="0" fontId="0" fillId="5" borderId="30" xfId="0" applyFill="1" applyBorder="1" applyAlignment="1">
      <alignment horizontal="center"/>
    </xf>
    <xf numFmtId="0" fontId="0" fillId="5" borderId="31" xfId="0" applyFill="1" applyBorder="1" applyAlignment="1">
      <alignment horizontal="center"/>
    </xf>
    <xf numFmtId="0" fontId="0" fillId="9" borderId="13" xfId="0" applyFill="1" applyBorder="1" applyAlignment="1">
      <alignment horizontal="center"/>
    </xf>
    <xf numFmtId="0" fontId="0" fillId="9" borderId="16" xfId="0" applyFill="1" applyBorder="1" applyAlignment="1">
      <alignment/>
    </xf>
    <xf numFmtId="0" fontId="0" fillId="9" borderId="21" xfId="0" applyFill="1" applyBorder="1" applyAlignment="1">
      <alignment/>
    </xf>
    <xf numFmtId="0" fontId="0" fillId="9" borderId="17" xfId="0" applyFill="1" applyBorder="1" applyAlignment="1">
      <alignment/>
    </xf>
    <xf numFmtId="0" fontId="0" fillId="9" borderId="18" xfId="0" applyFill="1" applyBorder="1" applyAlignment="1">
      <alignment/>
    </xf>
    <xf numFmtId="0" fontId="0" fillId="9" borderId="15" xfId="0" applyFill="1" applyBorder="1" applyAlignment="1">
      <alignment/>
    </xf>
    <xf numFmtId="0" fontId="0" fillId="8" borderId="19" xfId="0" applyFill="1" applyBorder="1" applyAlignment="1">
      <alignment/>
    </xf>
    <xf numFmtId="0" fontId="0" fillId="8" borderId="3" xfId="0" applyFill="1" applyBorder="1" applyAlignment="1">
      <alignment/>
    </xf>
    <xf numFmtId="0" fontId="0" fillId="8" borderId="20" xfId="0" applyFill="1" applyBorder="1" applyAlignment="1">
      <alignment/>
    </xf>
    <xf numFmtId="0" fontId="0" fillId="8" borderId="19" xfId="0" applyFill="1" applyBorder="1" applyAlignment="1">
      <alignment horizontal="center"/>
    </xf>
    <xf numFmtId="0" fontId="0" fillId="8" borderId="20" xfId="0" applyFill="1" applyBorder="1" applyAlignment="1">
      <alignment horizontal="center"/>
    </xf>
    <xf numFmtId="0" fontId="0" fillId="7" borderId="8" xfId="0" applyFill="1" applyBorder="1" applyAlignment="1">
      <alignment horizontal="center"/>
    </xf>
    <xf numFmtId="0" fontId="7" fillId="0" borderId="0" xfId="0" applyFont="1" applyFill="1" applyBorder="1" applyAlignment="1">
      <alignment/>
    </xf>
    <xf numFmtId="0" fontId="0" fillId="9" borderId="32" xfId="0" applyFill="1" applyBorder="1" applyAlignment="1">
      <alignment/>
    </xf>
    <xf numFmtId="0" fontId="0" fillId="9" borderId="3" xfId="0" applyFill="1" applyBorder="1" applyAlignment="1">
      <alignment horizontal="center"/>
    </xf>
    <xf numFmtId="0" fontId="0" fillId="9" borderId="3" xfId="0" applyFill="1" applyBorder="1" applyAlignment="1">
      <alignment horizontal="center" vertical="top" wrapText="1"/>
    </xf>
    <xf numFmtId="0" fontId="0" fillId="9" borderId="19" xfId="0" applyFill="1" applyBorder="1" applyAlignment="1">
      <alignment horizontal="center" vertical="top"/>
    </xf>
    <xf numFmtId="0" fontId="0" fillId="9" borderId="25" xfId="0" applyFill="1" applyBorder="1" applyAlignment="1">
      <alignment horizontal="center"/>
    </xf>
    <xf numFmtId="0" fontId="0" fillId="9" borderId="19" xfId="0" applyFill="1" applyBorder="1" applyAlignment="1">
      <alignment horizontal="center"/>
    </xf>
    <xf numFmtId="0" fontId="0" fillId="9" borderId="30" xfId="0" applyFill="1" applyBorder="1" applyAlignment="1">
      <alignment horizontal="center"/>
    </xf>
    <xf numFmtId="0" fontId="0" fillId="9" borderId="20" xfId="0" applyFill="1" applyBorder="1" applyAlignment="1">
      <alignment horizontal="center"/>
    </xf>
    <xf numFmtId="0" fontId="0" fillId="9" borderId="33" xfId="0" applyFill="1" applyBorder="1" applyAlignment="1">
      <alignment horizontal="center" vertical="top"/>
    </xf>
    <xf numFmtId="2" fontId="6" fillId="13" borderId="34" xfId="0" applyNumberFormat="1" applyFont="1" applyFill="1" applyBorder="1" applyAlignment="1">
      <alignment horizontal="center"/>
    </xf>
    <xf numFmtId="0" fontId="8" fillId="13" borderId="35" xfId="0" applyFont="1" applyFill="1" applyBorder="1" applyAlignment="1">
      <alignment horizontal="center"/>
    </xf>
    <xf numFmtId="0" fontId="0" fillId="13" borderId="36" xfId="0" applyFill="1" applyBorder="1" applyAlignment="1">
      <alignment horizontal="center"/>
    </xf>
    <xf numFmtId="0" fontId="0" fillId="13" borderId="37" xfId="0" applyFill="1" applyBorder="1" applyAlignment="1">
      <alignment horizontal="center"/>
    </xf>
    <xf numFmtId="0" fontId="6" fillId="13" borderId="34" xfId="0" applyFont="1" applyFill="1" applyBorder="1" applyAlignment="1">
      <alignment horizontal="center"/>
    </xf>
    <xf numFmtId="0" fontId="0" fillId="13" borderId="0" xfId="0" applyFill="1" applyAlignment="1">
      <alignment horizontal="center"/>
    </xf>
    <xf numFmtId="0" fontId="0" fillId="13" borderId="38" xfId="0" applyFill="1" applyBorder="1" applyAlignment="1">
      <alignment horizontal="center"/>
    </xf>
    <xf numFmtId="0" fontId="0" fillId="10" borderId="39" xfId="0" applyFill="1" applyBorder="1" applyAlignment="1">
      <alignment horizontal="center"/>
    </xf>
    <xf numFmtId="0" fontId="0" fillId="3" borderId="40" xfId="0" applyFill="1" applyBorder="1" applyAlignment="1">
      <alignment horizontal="center"/>
    </xf>
    <xf numFmtId="0" fontId="0" fillId="4" borderId="40" xfId="0" applyFill="1" applyBorder="1" applyAlignment="1">
      <alignment horizontal="center"/>
    </xf>
    <xf numFmtId="0" fontId="0" fillId="5" borderId="40" xfId="0" applyFill="1" applyBorder="1" applyAlignment="1">
      <alignment horizontal="center"/>
    </xf>
    <xf numFmtId="0" fontId="0" fillId="6" borderId="41" xfId="0" applyFill="1" applyBorder="1" applyAlignment="1">
      <alignment horizontal="center"/>
    </xf>
    <xf numFmtId="0" fontId="0" fillId="13" borderId="37" xfId="0" applyFill="1" applyBorder="1" applyAlignment="1">
      <alignment horizontal="center" vertical="center"/>
    </xf>
    <xf numFmtId="0" fontId="0" fillId="13" borderId="0" xfId="0" applyFill="1" applyAlignment="1">
      <alignment horizontal="center" vertical="center" wrapText="1"/>
    </xf>
    <xf numFmtId="0" fontId="10" fillId="0" borderId="0" xfId="0" applyFont="1" applyFill="1" applyAlignment="1">
      <alignment/>
    </xf>
    <xf numFmtId="1" fontId="0" fillId="7" borderId="4" xfId="0" applyNumberFormat="1" applyFill="1" applyBorder="1" applyAlignment="1">
      <alignment horizontal="center"/>
    </xf>
    <xf numFmtId="0" fontId="0" fillId="3" borderId="0" xfId="0" applyFill="1" applyAlignment="1">
      <alignment/>
    </xf>
    <xf numFmtId="0" fontId="0" fillId="10" borderId="2" xfId="0" applyFill="1" applyBorder="1" applyAlignment="1">
      <alignment horizontal="center"/>
    </xf>
    <xf numFmtId="0" fontId="11" fillId="0" borderId="0" xfId="0" applyFont="1" applyAlignment="1">
      <alignment/>
    </xf>
    <xf numFmtId="0" fontId="0" fillId="3" borderId="42" xfId="0" applyFill="1" applyBorder="1" applyAlignment="1">
      <alignment horizontal="center"/>
    </xf>
    <xf numFmtId="0" fontId="0" fillId="10" borderId="42" xfId="0" applyFill="1" applyBorder="1" applyAlignment="1">
      <alignment horizontal="center"/>
    </xf>
    <xf numFmtId="0" fontId="0" fillId="4" borderId="42" xfId="0" applyFill="1" applyBorder="1" applyAlignment="1">
      <alignment horizontal="center"/>
    </xf>
    <xf numFmtId="0" fontId="0" fillId="3" borderId="20" xfId="0" applyFill="1" applyBorder="1" applyAlignment="1">
      <alignment horizontal="center"/>
    </xf>
    <xf numFmtId="0" fontId="0" fillId="10" borderId="20" xfId="0" applyFill="1" applyBorder="1" applyAlignment="1">
      <alignment horizontal="center"/>
    </xf>
    <xf numFmtId="0" fontId="0" fillId="4" borderId="20" xfId="0" applyFill="1" applyBorder="1" applyAlignment="1">
      <alignment horizontal="center"/>
    </xf>
    <xf numFmtId="0" fontId="0" fillId="2" borderId="8" xfId="0" applyFill="1" applyBorder="1" applyAlignment="1">
      <alignment/>
    </xf>
    <xf numFmtId="0" fontId="0" fillId="9" borderId="8" xfId="0" applyFill="1" applyBorder="1" applyAlignment="1">
      <alignment/>
    </xf>
    <xf numFmtId="0" fontId="0" fillId="9" borderId="0" xfId="0" applyFill="1" applyBorder="1" applyAlignment="1">
      <alignment/>
    </xf>
    <xf numFmtId="0" fontId="0" fillId="9" borderId="0" xfId="0" applyFill="1" applyAlignment="1">
      <alignment/>
    </xf>
    <xf numFmtId="0" fontId="13" fillId="0" borderId="0" xfId="0" applyFont="1" applyAlignment="1">
      <alignment/>
    </xf>
    <xf numFmtId="0" fontId="0" fillId="8" borderId="0" xfId="0" applyFill="1" applyAlignment="1">
      <alignment horizontal="center"/>
    </xf>
    <xf numFmtId="1" fontId="0" fillId="8" borderId="3" xfId="0" applyNumberFormat="1" applyFill="1" applyBorder="1" applyAlignment="1">
      <alignment horizontal="center"/>
    </xf>
    <xf numFmtId="0" fontId="0" fillId="8" borderId="3" xfId="0" applyNumberFormat="1" applyFill="1" applyBorder="1" applyAlignment="1">
      <alignment horizontal="center"/>
    </xf>
    <xf numFmtId="0" fontId="12" fillId="0" borderId="1" xfId="0" applyFont="1" applyBorder="1" applyAlignment="1">
      <alignment horizontal="left"/>
    </xf>
    <xf numFmtId="0" fontId="12" fillId="0" borderId="1" xfId="0" applyFont="1" applyBorder="1" applyAlignment="1">
      <alignment/>
    </xf>
    <xf numFmtId="0" fontId="14" fillId="0" borderId="0" xfId="0" applyFont="1" applyAlignment="1">
      <alignment/>
    </xf>
    <xf numFmtId="0" fontId="14" fillId="0" borderId="0" xfId="0" applyFont="1" applyAlignment="1">
      <alignment horizontal="center"/>
    </xf>
    <xf numFmtId="0" fontId="14" fillId="0" borderId="1" xfId="0" applyFont="1" applyBorder="1" applyAlignment="1">
      <alignment horizontal="left"/>
    </xf>
    <xf numFmtId="0" fontId="0" fillId="0" borderId="0" xfId="0" applyAlignment="1">
      <alignment horizontal="right"/>
    </xf>
    <xf numFmtId="0" fontId="0" fillId="0" borderId="43" xfId="0" applyFont="1" applyFill="1" applyBorder="1" applyAlignment="1">
      <alignment/>
    </xf>
    <xf numFmtId="0" fontId="0" fillId="0" borderId="44" xfId="0" applyFont="1" applyFill="1" applyBorder="1" applyAlignment="1">
      <alignment/>
    </xf>
    <xf numFmtId="0" fontId="15" fillId="0" borderId="44" xfId="0" applyFont="1" applyFill="1" applyBorder="1" applyAlignment="1">
      <alignment horizontal="center"/>
    </xf>
    <xf numFmtId="0" fontId="0" fillId="0" borderId="44" xfId="0" applyFont="1" applyFill="1" applyBorder="1" applyAlignment="1">
      <alignment/>
    </xf>
    <xf numFmtId="0" fontId="0" fillId="0" borderId="5" xfId="0" applyFont="1" applyFill="1" applyBorder="1" applyAlignment="1">
      <alignment/>
    </xf>
    <xf numFmtId="0" fontId="16" fillId="0" borderId="0" xfId="0" applyFont="1" applyAlignment="1">
      <alignment/>
    </xf>
    <xf numFmtId="12" fontId="16" fillId="0" borderId="0" xfId="0" applyNumberFormat="1" applyFont="1" applyAlignment="1">
      <alignment/>
    </xf>
    <xf numFmtId="173" fontId="11" fillId="0" borderId="0" xfId="0" applyNumberFormat="1" applyFont="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68"/>
  <sheetViews>
    <sheetView zoomScale="85" zoomScaleNormal="85" workbookViewId="0" topLeftCell="A16">
      <selection activeCell="C49" sqref="C49"/>
    </sheetView>
  </sheetViews>
  <sheetFormatPr defaultColWidth="11.421875" defaultRowHeight="12.75"/>
  <cols>
    <col min="1" max="1" width="12.421875" style="0" customWidth="1"/>
    <col min="2" max="2" width="11.7109375" style="0" customWidth="1"/>
    <col min="3" max="3" width="12.28125" style="0" customWidth="1"/>
    <col min="4" max="5" width="11.7109375" style="0" customWidth="1"/>
    <col min="7" max="7" width="26.00390625" style="0" bestFit="1" customWidth="1"/>
    <col min="9" max="9" width="13.28125" style="0" customWidth="1"/>
  </cols>
  <sheetData>
    <row r="1" spans="9:11" ht="12.75">
      <c r="I1" s="163">
        <f>IF(AND(E7&gt;=1,E7&lt;=4),1,IF(AND(E7&gt;=5,E7&lt;=8),2,IF(AND(E7&gt;=9,E7&lt;=13),3,IF(AND(E7&gt;=14,E7&lt;=18),4,IF(AND(E7&gt;=19,E7&lt;=22),5,IF(AND(E7&gt;=23,E7&lt;=27),6,IF(AND(E7&gt;=28,E7&lt;=31),7,0)))))))</f>
        <v>0</v>
      </c>
      <c r="J1" s="163">
        <f>IF(AND(E7&gt;=28,E7&lt;=31),7,IF(AND(E7&gt;=32,E7&lt;=36),8,IF(AND(E7&gt;=37,E7&lt;=40),9,IF(AND(E7&gt;=41,E7&lt;=42),10,IF(AND(E7&gt;=43,E7&lt;=47),11,IF(AND(E7&gt;=48,E7&lt;=52),12,0))))))</f>
        <v>0</v>
      </c>
      <c r="K1" s="163">
        <f>IF(AND(E7&gt;=53,E7&lt;=56),13,IF(AND(E7&gt;=57,E7&lt;=61),14,IF(AND(E7&gt;=62,E7&lt;=65),15,IF(AND(E7&gt;=66,E7&lt;=70),16,IF(AND(E7&gt;=71,E7&lt;=74),17,IF(AND(E7&gt;=75,E7&lt;=99),18,0))))))</f>
        <v>0</v>
      </c>
    </row>
    <row r="2" spans="9:14" ht="12.75">
      <c r="I2" s="163">
        <f>IF(B21=0,0,(IF(((IF(((((B21*(100-0)/100)-H14)*((100-H11)/100)))&lt;0,0,((((B21*(100-0)/100)-H14)*((100-H11)/100))))*((100-(2*(IF(H12&gt;40,40,H12))))/100)-(2*(H13+H16)))*(-1))&gt;((((B21*(100-0)/100)))+(((B21*(100-0)/100)-H14)*((100-H11)/100))+H14),((((B21*(100-0)/100)))+(((B21*(100-0)/100)-H14)*((100-H11)/100))+H14),((IF(((((B21*(100-0)/100)-H14)*((100-H11)/100)))&lt;0,0,((((B21*(100-0)/100)-H14)*((100-H11)/100))))*((100-(2*(IF(H12&gt;40,40,H12))))/100)-(2*(H13+H16)))*(-1)))))</f>
        <v>0</v>
      </c>
      <c r="J2" s="163">
        <f>IF(C21=0,0,(IF(((IF(((((C21*(100-0)/100)-H14)*((100-H5)/100)))&lt;0,0,((((C21*(100-0)/100)-H14)*((100-H5)/100))))*((100-(2*(IF(H6&gt;40,40,H6))))/100)-(2*(H7+H16)))*(-1))&gt;((((C21*(100-0)/100)))+(((C21*(100-0)/100)-H14)*((100-H5)/100))+H14),((((C21*(100-0)/100)))+(((C21*(100-0)/100)-H14)*((100-H5)/100))+H14),((IF(((((C21*(100-0)/100)-H14)*((100-H5)/100)))&lt;0,0,((((C21*(100-0)/100)-H14)*((100-H5)/100))))*((100-(2*(IF(H6&gt;40,40,H6))))/100)-(2*(H7+H16)))*(-1)))))</f>
        <v>0</v>
      </c>
      <c r="K2" s="163">
        <f>IF(D21=0,0,(IF(((IF(((((D21*(100-0)/100)-H14)*((100-H8)/100)))&lt;0,0,((((D21*(100-0)/100)-H14)*((100-H8)/100))))*((100-(2*(IF(H9&gt;40,40,H9))))/100)-(2*(H10+H16)))*(-1))&gt;((((D21*(100-0)/100)))+(((D21*(100-0)/100)-H14)*((100-H8)/100))+H14),((((D21*(100-0)/100)))+(((D21*(100-0)/100)-H14)*((100-H8)/100))+H14),((IF(((((D21*(100-0)/100)-H14)*((100-H8)/100)))&lt;0,0,((((D21*(100-0)/100)-H14)*((100-H8)/100))))*((100-(2*(IF(H9&gt;40,40,H9))))/100)-(2*(H10+H16)))*(-1)))))</f>
        <v>0</v>
      </c>
      <c r="L2" s="163">
        <f>IF(E21=0,0,(IF(((IF(((((E21*(100-0)/100)-H14)*((100-H15)/100)))&lt;0,0,((((E21*(100-0)/100)-H14)*((100-H15)/100))))-(2*(H16)))*(-1))&gt;((((E21*(100-0)/100)))+(((E21*(100-0)/100)-H14)*((100-H15)/100))+H14),((((E21*(100-0)/100)))+(((E21*(100-0)/100)-H14)*((100-H15)/100))+H14),((IF(((((E21*(100-0)/100)-H14)*((100-H15)/100)))&lt;0,0,((((E21*(100-0)/100)-H14)*((100-H15)/100))))-(2*(H16)))*(-1)))))</f>
        <v>0</v>
      </c>
      <c r="M2" s="163">
        <f>IF(F21=0,0,(IF((((F21*(100-0)/100)-H3)*((100-(IF(H4&gt;50,50,H4)))/100))*((100-(IF(B7="ja",IF((B8*(Stats!G40-15))/(Stats!D37*2)&gt;75,75,(B8*(Stats!G40-15))/(Stats!D37*2)),0)))/100)&lt;0,0,((F21*(100-0)/100)-H3)*((100-(IF(H4&gt;50,50,H4)))/100)*((100-(IF(B7="ja",IF((B8*(Stats!G40-15))/(Stats!D37*2)&gt;75,75,ROUNDDOWN((B8*(Stats!G40-15))/(Stats!D37*2),0)),0)))/100)))*(-1))</f>
        <v>0</v>
      </c>
      <c r="N2" s="163"/>
    </row>
    <row r="3" spans="1:14" ht="12.75">
      <c r="A3" s="8" t="s">
        <v>18</v>
      </c>
      <c r="B3" s="10">
        <v>0</v>
      </c>
      <c r="C3" s="2"/>
      <c r="D3" s="3" t="s">
        <v>15</v>
      </c>
      <c r="E3" s="10" t="s">
        <v>112</v>
      </c>
      <c r="F3" s="2"/>
      <c r="G3" s="15" t="s">
        <v>111</v>
      </c>
      <c r="H3" s="12">
        <f>Stats!B31</f>
        <v>0</v>
      </c>
      <c r="I3" s="163"/>
      <c r="J3" s="163"/>
      <c r="K3" s="163"/>
      <c r="L3" s="163"/>
      <c r="M3" s="163"/>
      <c r="N3" s="163"/>
    </row>
    <row r="4" spans="1:8" ht="12.75">
      <c r="A4" s="8" t="s">
        <v>29</v>
      </c>
      <c r="B4" s="10">
        <v>0</v>
      </c>
      <c r="C4" s="2"/>
      <c r="D4" s="3">
        <f>IF(E3="ja","Welcher?","")</f>
      </c>
      <c r="E4" s="10"/>
      <c r="F4" s="2"/>
      <c r="G4" s="15" t="s">
        <v>11</v>
      </c>
      <c r="H4" s="12">
        <f>Stats!C31</f>
        <v>0</v>
      </c>
    </row>
    <row r="5" spans="1:8" ht="12.75">
      <c r="A5" s="8" t="s">
        <v>14</v>
      </c>
      <c r="B5" s="10">
        <v>0</v>
      </c>
      <c r="C5" s="2"/>
      <c r="D5" s="3">
        <f>IF(E3="ja","Einsicht?","")</f>
      </c>
      <c r="E5" s="10"/>
      <c r="F5" s="2"/>
      <c r="G5" s="15" t="s">
        <v>3</v>
      </c>
      <c r="H5" s="12">
        <f>IF(Stats!B18&gt;(75+Stats!P18),(75+Stats!P18),Stats!B18)</f>
        <v>0</v>
      </c>
    </row>
    <row r="6" spans="1:8" ht="12.75">
      <c r="A6" s="8" t="s">
        <v>32</v>
      </c>
      <c r="B6" s="10">
        <v>0</v>
      </c>
      <c r="C6" s="9"/>
      <c r="D6" s="3">
        <f>IF(AND(E5="ja",E3="ja"),"Medi-Level =","")</f>
      </c>
      <c r="E6" s="10"/>
      <c r="F6" s="2"/>
      <c r="G6" s="15" t="s">
        <v>0</v>
      </c>
      <c r="H6" s="12">
        <f>Stats!D31</f>
        <v>0</v>
      </c>
    </row>
    <row r="7" spans="1:8" ht="12.75">
      <c r="A7" s="8" t="s">
        <v>114</v>
      </c>
      <c r="B7" s="10" t="s">
        <v>112</v>
      </c>
      <c r="C7" s="9"/>
      <c r="D7" s="3">
        <f>IF(AND(E3="ja",OR(E4="A2 norm Kam",E4="A2 Hell Kam")),"Merc Level?","")</f>
      </c>
      <c r="E7" s="10"/>
      <c r="F7" s="2"/>
      <c r="G7" s="15" t="s">
        <v>1</v>
      </c>
      <c r="H7" s="12">
        <f>Stats!E31</f>
        <v>0</v>
      </c>
    </row>
    <row r="8" spans="1:8" ht="12.75">
      <c r="A8" s="8">
        <f>IF(B7="ja","Schildblock?","")</f>
      </c>
      <c r="B8" s="160"/>
      <c r="C8" s="9"/>
      <c r="D8" s="3">
        <f>IF(AND(E3="ja",OR(E4="A2 norm Kam",E4="A2 hell Kam")),"Merc +Skills?","")</f>
      </c>
      <c r="E8" s="10"/>
      <c r="F8" s="2"/>
      <c r="G8" s="15" t="s">
        <v>2</v>
      </c>
      <c r="H8" s="12">
        <f>IF(Stats!D18&gt;(75+Stats!R18),(75+Stats!R18),Stats!D18)</f>
        <v>0</v>
      </c>
    </row>
    <row r="9" spans="3:8" ht="12.75">
      <c r="C9" s="2"/>
      <c r="E9" s="11"/>
      <c r="F9" s="2"/>
      <c r="G9" s="15" t="s">
        <v>4</v>
      </c>
      <c r="H9" s="12">
        <f>Stats!H31</f>
        <v>0</v>
      </c>
    </row>
    <row r="10" spans="1:8" ht="12.75">
      <c r="A10" s="13" t="s">
        <v>17</v>
      </c>
      <c r="B10" s="12">
        <f>Stats!N31</f>
        <v>0</v>
      </c>
      <c r="C10" s="9"/>
      <c r="D10" s="15" t="s">
        <v>31</v>
      </c>
      <c r="E10" s="12">
        <f>IF(E3="ja",IF(OR(E4="A2 norm Kam",E4="A2 hell Kam"),IF(I1=J1,K1+E8,IF(J1=K1,I1+E8,IF(I1=K1,J1+E8))),0),0)</f>
        <v>0</v>
      </c>
      <c r="F10" s="2"/>
      <c r="G10" s="15" t="s">
        <v>5</v>
      </c>
      <c r="H10" s="12">
        <f>Stats!I31</f>
        <v>0</v>
      </c>
    </row>
    <row r="11" spans="1:8" ht="12.75">
      <c r="A11" s="13" t="s">
        <v>28</v>
      </c>
      <c r="B11" s="12">
        <f>Stats!P31</f>
        <v>0</v>
      </c>
      <c r="D11" s="15" t="s">
        <v>30</v>
      </c>
      <c r="E11" s="12">
        <f>IF(AND(E10&lt;=16,E10&gt;0),(1*E10+1)+((B12*25)/256),IF(E10&gt;=16,((E10-16)*2+17)+((B12*25)/256),IF(AND(E10=0,B12=0),0,IF(AND(E10=0,B12&gt;0),(B12*25)/256))))</f>
        <v>0</v>
      </c>
      <c r="F11" s="2"/>
      <c r="G11" s="15" t="s">
        <v>6</v>
      </c>
      <c r="H11" s="12">
        <f>IF(Stats!C18&gt;(75+Stats!Q18),(75+Stats!Q18),Stats!C18)</f>
        <v>0</v>
      </c>
    </row>
    <row r="12" spans="1:8" ht="12.75">
      <c r="A12" s="13" t="s">
        <v>12</v>
      </c>
      <c r="B12" s="12">
        <f>Stats!O31</f>
        <v>0</v>
      </c>
      <c r="E12" s="14"/>
      <c r="F12" s="2"/>
      <c r="G12" s="15" t="s">
        <v>7</v>
      </c>
      <c r="H12" s="12">
        <f>Stats!F31</f>
        <v>0</v>
      </c>
    </row>
    <row r="13" spans="1:8" ht="12.75">
      <c r="A13" s="13" t="s">
        <v>16</v>
      </c>
      <c r="B13" s="12">
        <f>Stats!C47</f>
        <v>37</v>
      </c>
      <c r="E13" s="2"/>
      <c r="F13" s="2"/>
      <c r="G13" s="15" t="s">
        <v>8</v>
      </c>
      <c r="H13" s="12">
        <f>Stats!G31</f>
        <v>0</v>
      </c>
    </row>
    <row r="14" spans="1:8" ht="12.75">
      <c r="A14" s="13" t="s">
        <v>33</v>
      </c>
      <c r="B14" s="12">
        <f>IF(IF(B3=0,0,IF(B3&lt;=8,15+B3*5,IF(AND(B3&gt;8,B3&lt;=16),55+(B3-8)*2,71+(B3-16))))&gt;95,95,IF(B3=0,0,IF(B3&lt;=8,15+B3*5,IF(AND(B3&gt;8,B3&lt;=16),55+(B3-8)*2,71+(B3-16)))))</f>
        <v>0</v>
      </c>
      <c r="E14" s="2"/>
      <c r="F14" s="2"/>
      <c r="G14" s="15" t="s">
        <v>10</v>
      </c>
      <c r="H14" s="12">
        <f>Stats!K31</f>
        <v>0</v>
      </c>
    </row>
    <row r="15" spans="1:8" ht="12.75">
      <c r="A15" s="13" t="s">
        <v>34</v>
      </c>
      <c r="B15" s="12">
        <f>B13/120*(1+(IF(AND(E3="ja",E5="ja"),(300+(E6-1)*25),0)+IF(B5&gt;0,30+(B5-1)*12,0)+B10)/100)</f>
        <v>0.30833333333333335</v>
      </c>
      <c r="E15" s="2"/>
      <c r="F15" s="2"/>
      <c r="G15" s="15" t="s">
        <v>13</v>
      </c>
      <c r="H15" s="12">
        <f>Stats!J31</f>
        <v>0</v>
      </c>
    </row>
    <row r="16" spans="1:8" ht="12.75">
      <c r="A16" s="13" t="s">
        <v>115</v>
      </c>
      <c r="B16" s="12">
        <f>IF(B7="ja",IF((B8*(Stats!G40-15))/(Stats!D37*2)&gt;75,75,ROUNDDOWN((B8*(Stats!G40-15))/(Stats!D37*2),0)),0)</f>
        <v>0</v>
      </c>
      <c r="D16" s="2"/>
      <c r="E16" s="2"/>
      <c r="F16" s="2"/>
      <c r="G16" s="15" t="s">
        <v>9</v>
      </c>
      <c r="H16" s="12">
        <f>Stats!L31</f>
        <v>0</v>
      </c>
    </row>
    <row r="17" ht="12.75">
      <c r="H17" s="30"/>
    </row>
    <row r="18" ht="12.75">
      <c r="C18" s="1"/>
    </row>
    <row r="19" ht="18.75">
      <c r="H19" s="34" t="s">
        <v>132</v>
      </c>
    </row>
    <row r="20" spans="1:6" ht="12.75">
      <c r="A20" s="16"/>
      <c r="B20" s="17" t="s">
        <v>23</v>
      </c>
      <c r="C20" s="18" t="s">
        <v>22</v>
      </c>
      <c r="D20" s="19" t="s">
        <v>21</v>
      </c>
      <c r="E20" s="20" t="s">
        <v>24</v>
      </c>
      <c r="F20" s="21" t="s">
        <v>25</v>
      </c>
    </row>
    <row r="21" spans="1:10" ht="12.75">
      <c r="A21" s="24" t="s">
        <v>20</v>
      </c>
      <c r="B21" s="152">
        <v>0</v>
      </c>
      <c r="C21" s="153">
        <v>0</v>
      </c>
      <c r="D21" s="154">
        <v>0</v>
      </c>
      <c r="E21" s="155">
        <v>0</v>
      </c>
      <c r="F21" s="156">
        <v>0</v>
      </c>
      <c r="H21" s="8" t="s">
        <v>135</v>
      </c>
      <c r="I21" s="8"/>
      <c r="J21" s="55">
        <v>100</v>
      </c>
    </row>
    <row r="22" spans="1:10" ht="12.75">
      <c r="A22" s="25" t="s">
        <v>19</v>
      </c>
      <c r="B22" s="22">
        <f>(((B21*B14)/100)*(200-((IF(B4&gt;20,20,IF(B4&lt;=20,B4)))*6.25))/100)</f>
        <v>0</v>
      </c>
      <c r="C22" s="4">
        <f>((C21*B14)/100)*(200-((IF(B4&gt;20,20,IF(B4&lt;=20,B4)))*6.25))/100</f>
        <v>0</v>
      </c>
      <c r="D22" s="5">
        <f>((D21*B14)/100)*(200-((IF(B4&gt;20,20,IF(B4&lt;=20,B4)))*6.25))/100</f>
        <v>0</v>
      </c>
      <c r="E22" s="6">
        <f>((E21*B14)/100)*(200-((IF(B4&gt;20,20,IF(B4&lt;=20,B4)))*6.25))/100</f>
        <v>0</v>
      </c>
      <c r="F22" s="7">
        <f>((F21*B14)/100)*(200-((IF(B4&gt;20,20,IF(B4&lt;=20,B4)))*6.25))/100</f>
        <v>0</v>
      </c>
      <c r="H22" s="8" t="s">
        <v>136</v>
      </c>
      <c r="I22" s="8"/>
      <c r="J22" s="55">
        <v>100</v>
      </c>
    </row>
    <row r="23" spans="1:10" ht="12.75">
      <c r="A23" s="26" t="s">
        <v>35</v>
      </c>
      <c r="B23" s="23">
        <f>IF((((((B21*(100-B14)/100)-H14)*((100-H11)/100)*(100-(IF(H12&gt;40,40,H12)))/100)-H13)-H16)&lt;0,0,((((B21*(100-B14)/100)-H14)*((100-H11)/100)*(100-(IF(H12&gt;40,40,H12)))/100)-H13)-H16)</f>
        <v>0</v>
      </c>
      <c r="C23" s="32">
        <f>IF(((((C21*(100-B14)/100)-H14)*((100-H5)/100)*(100-(IF(H6&gt;40,40,H6)))/100)-H7)-H16&lt;0,0,((((C21*(100-B14)/100)-H14)*((100-H5)/100)*(100-(IF(H6&gt;40,40,H6)))/100)-H7)-H16)</f>
        <v>0</v>
      </c>
      <c r="D23" s="33">
        <f>IF(((((D21*(100-B14)/100)-H14)*((100-H8)/100)*(100-(IF(H9&gt;40,40,H9)))/100)-H10)-H16&lt;0,0,((((D21*(100-B14)/100)-H14)*((100-H8)/100)*(100-(IF(H9&gt;40,40,H9)))/100)-H10)-H16)</f>
        <v>0</v>
      </c>
      <c r="E23" s="6">
        <f>IF(((E21*(100-B14)/100)-H14)*((100-(IF(H15&gt;10,10,H15)))/100)-H16&lt;0,0,((E21*(100-B14)/100)-H14)*((100-(IF(H15&gt;10,10,H15)))/100)-H16)</f>
        <v>0</v>
      </c>
      <c r="F23" s="7">
        <f>IF((((F21*(100-B14)/100)-H3)*((100-(IF(H4&gt;50,50,H4)))/100))*((100-(IF(B7="ja",IF((B8*(Stats!G40-15))/(Stats!D37*2)&gt;75,75,(B8*(Stats!G40-15))/(Stats!D37*2)),0)))/100)&lt;0,0,((F21*(100-B14)/100)-H3)*((100-(IF(H4&gt;50,50,H4)))/100)*((100-(IF(B7="ja",IF((B8*(Stats!G40-15))/(Stats!D37*2)&gt;75,75,ROUNDDOWN((B8*(Stats!G40-15))/(Stats!D37*2),0)),0)))/100))</f>
        <v>0</v>
      </c>
      <c r="J23" s="11"/>
    </row>
    <row r="24" spans="1:10" ht="12.75">
      <c r="A24" s="26" t="s">
        <v>36</v>
      </c>
      <c r="B24" s="28">
        <f>IF(B21=0,0,IF(((IF((((B21*(100-B14)/100)-H14)*((100-H11)/100))&lt;0,0,(((B21*(100-B14)/100)-H14)*((100-H11)/100)))*((IF(H12&gt;40,40,H12)))/100)+(H16+H13))&gt;(IF(((B21*(100-B14)/100))&lt;0,((B21*(100-B14)/100)-H14)*(-1),((B21*(100-B14)/100)))),(IF(((B21*(100-B14)/100))&lt;0,((B21*(100-B14)/100)-H14)*(-1),((B21*(100-B14)/100)))),((IF((((B21*(100-B14)/100)-H14)*((100-H11)/100))&lt;0,0,(((B21*(100-B14)/100)-H14)*((100-H11)/100)))*((IF(H12&gt;40,40,H12)))/100)+(H16+H13))))</f>
        <v>0</v>
      </c>
      <c r="C24" s="4">
        <f>IF(C21=0,0,IF(((IF((((C21*(100-B14)/100)-H14)*((100-H5)/100))&lt;0,0,(((C21*(100-B14)/100)-H14)*((100-H5)/100)))*((IF(H6&gt;40,40,H6)))/100)+(H16+H7))&gt;(IF(((B21*(100-B14)/100))&lt;0,((C21*(100-B14)/100)-H14)*(-1),((C21*(100-B14)/100)))),(IF(((C21*(100-B14)/100))&lt;0,((C21*(100-B14)/100)-H14)*(-1),((C21*(100-B14)/100)))),((IF((((C21*(100-B14)/100)-H14)*((100-H5)/100))&lt;0,0,(((C21*(100-B14)/100)-H14)*((100-H5)/100)))*((IF(H6&gt;40,40,H6)))/100)+(H16+H7))))</f>
        <v>0</v>
      </c>
      <c r="D24" s="5">
        <f>IF(D21=0,0,IF(((IF((((D21*(100-B14)/100)-H14)*((100-H8)/100))&lt;0,0,(((D21*(100-B14)/100)-H14)*((100-H8)/100)))*((IF(H9&gt;40,40,H9)))/100)+(H16+H10))&gt;(IF(((D21*(100-B14)/100))&lt;0,((D21*(100-B14)/100)-H14)*(-1),((D21*(100-B14)/100)))),(IF(((D21*(100-B14)/100))&lt;0,((D21*(100-B14)/100)-H14)*(-1),((D21*(100-B14)/100)))),((IF((((D21*(100-B14)/100)-H14)*((100-H8)/100))&lt;0,0,(((D21*(100-B14)/100)-H14)*((100-H8)/100)))*((IF(H9&gt;40,40,H9)))/100)+(H16+H10))))</f>
        <v>0</v>
      </c>
      <c r="E24" s="6">
        <f>IF(E21=0,0,IF(H16&gt;((E21*(100-B14)/100)),((E21*(100-B14)/100)),H16))</f>
        <v>0</v>
      </c>
      <c r="F24" s="7">
        <v>0</v>
      </c>
      <c r="H24" s="128" t="s">
        <v>134</v>
      </c>
      <c r="I24" s="171"/>
      <c r="J24" s="58">
        <f>Stats!C48</f>
        <v>41</v>
      </c>
    </row>
    <row r="25" spans="1:10" ht="12.75">
      <c r="A25" s="161" t="s">
        <v>116</v>
      </c>
      <c r="B25" s="162">
        <f>IF(B21=0,0,(IF(((IF(((((B21*(100-B14)/100)-H14)*((100-H11)/100)))&lt;0,0,((((B21*(100-B14)/100)-H14)*((100-H11)/100))))*((100-(2*(IF(H12&gt;40,40,H12))))/100)-(2*(H13+H16)))*(-1))&gt;((((B21*(100-B14)/100)))+(((B21*(100-B14)/100)-H14)*((100-H11)/100))+H14),((((B21*(100-B14)/100)))+(((B21*(100-B14)/100)-H14)*((100-H11)/100))+H14),((IF(((((B21*(100-B14)/100)-H14)*((100-H11)/100)))&lt;0,0,((((B21*(100-B14)/100)-H14)*((100-H11)/100))))*((100-(2*(IF(H12&gt;40,40,H12))))/100)-(2*(H13+H16)))*(-1)))))</f>
        <v>0</v>
      </c>
      <c r="C25" s="4">
        <f>IF(C21=0,0,(IF(((IF(((((C21*(100-B14)/100)-H14)*((100-H5)/100)))&lt;0,0,((((C21*(100-B14)/100)-H14)*((100-H5)/100))))*((100-(2*(IF(H6&gt;40,40,H6))))/100)-(2*(H7+H16)))*(-1))&gt;((((C21*(100-B14)/100)))+(((C21*(100-B14)/100)-H14)*((100-H5)/100))+H14),((((C21*(100-B14)/100)))+(((C21*(100-B14)/100)-H14)*((100-H5)/100))+H14),((IF(((((C21*(100-B14)/100)-H14)*((100-H5)/100)))&lt;0,0,((((C21*(100-B14)/100)-H14)*((100-H5)/100))))*((100-(2*(IF(H6&gt;40,40,H6))))/100)-(2*(H7+H16)))*(-1)))))</f>
        <v>0</v>
      </c>
      <c r="D25" s="5">
        <f>IF(D21=0,0,(IF(((IF(((((D21*(100-B14)/100)-H14)*((100-H8)/100)))&lt;0,0,((((D21*(100-B14)/100)-H14)*((100-H8)/100))))*((100-(2*(IF(H9&gt;40,40,H9))))/100)-(2*(H10+H16)))*(-1))&gt;((((D21*(100-B14)/100)))+(((D21*(100-B14)/100)-H14)*((100-H8)/100))+H14),((((D21*(100-B14)/100)))+(((D21*(100-B14)/100)-H14)*((100-H8)/100))+H14),((IF(((((D21*(100-B14)/100)-H14)*((100-H8)/100)))&lt;0,0,((((D21*(100-B14)/100)-H14)*((100-H8)/100))))*((100-(2*(IF(H9&gt;40,40,H9))))/100)-(2*(H10+H16)))*(-1)))))</f>
        <v>0</v>
      </c>
      <c r="E25" s="6">
        <f>IF(E21=0,0,(IF(((IF(((((E21*(100-B14)/100)-H14)*((100-H15)/100)))&lt;0,0,((((E21*(100-B14)/100)-H14)*((100-H15)/100))))-(2*(H16)))*(-1))&gt;((((E21*(100-B14)/100)))+(((E21*(100-B14)/100)-H14)*((100-H15)/100))+H14),((((E21*(100-B14)/100)))+(((E21*(100-B14)/100)-H14)*((100-H15)/100))+H14),((IF(((((E21*(100-B14)/100)-H14)*((100-H15)/100)))&lt;0,0,((((E21*(100-B14)/100)-H14)*((100-H15)/100))))-(2*(H16)))*(-1)))))</f>
        <v>0</v>
      </c>
      <c r="F25" s="7">
        <f>IF(F21=0,0,F23*(-1))</f>
        <v>0</v>
      </c>
      <c r="H25" s="128" t="s">
        <v>133</v>
      </c>
      <c r="I25" s="171"/>
      <c r="J25" s="58">
        <f>Stats!C47</f>
        <v>37</v>
      </c>
    </row>
    <row r="26" spans="1:10" ht="12.75">
      <c r="A26" s="27" t="s">
        <v>26</v>
      </c>
      <c r="B26" s="22" t="s">
        <v>27</v>
      </c>
      <c r="C26" s="4" t="s">
        <v>27</v>
      </c>
      <c r="D26" s="5" t="s">
        <v>27</v>
      </c>
      <c r="E26" s="6" t="s">
        <v>27</v>
      </c>
      <c r="F26" s="7">
        <f>ROUNDDOWN(F23*(B11/100),0)</f>
        <v>0</v>
      </c>
      <c r="H26" s="13" t="s">
        <v>137</v>
      </c>
      <c r="I26" s="13"/>
      <c r="J26" s="58">
        <f>(J24*J21)/100</f>
        <v>41</v>
      </c>
    </row>
    <row r="27" spans="7:10" ht="12.75" customHeight="1">
      <c r="G27" s="11"/>
      <c r="H27" s="13" t="s">
        <v>138</v>
      </c>
      <c r="I27" s="13"/>
      <c r="J27" s="58">
        <f>(J25*J22)/100</f>
        <v>37</v>
      </c>
    </row>
    <row r="28" spans="7:10" ht="12.75">
      <c r="G28" s="11"/>
      <c r="H28" s="13" t="s">
        <v>141</v>
      </c>
      <c r="I28" s="13"/>
      <c r="J28" s="58" t="str">
        <f>IF((B21+C21+D21+E21+F21)=0,"-",IF((IF((B22+C22+D22+E22+F22)=0,0,ROUNDUP(I33/(B22+C22+D22+E22+F22),0)))&lt;(IF((IF((B25+C25+D25+E25+F25)*(-1)&lt;0,0,(B25+C25+D25+E25+F25)*(-1)))=0,((J25*J22)/100)+1,((J24*J21)/100)/(IF((B25+C25+D25+E25+F25)*(-1)&lt;0,0,(B25+C25+D25+E25+F25)*(-1))))),(IF((B22+C22+D22+E22+F22)=0,0,ROUNDUP(((J25*J22)/100)/(B22+C22+D22+E22+F22),0)))+(ROUNDUP((((J24*J21)/100)-((IF((B22+C22+D22+E22+F22)=0,0,ROUNDUP(I33/(B22+C22+D22+E22+F22),0)))*(IF((B25+C25+D25+E25+F25)*(-1)&lt;0,0,(B25+C25+D25+E25+F25)*(-1)))))/((I2+J2+K2+L2+M2)*(-1)),0)),ROUNDUP(((J24*J21)/100)/(IF((B25+C25+D25+E25+F25)*(-1)&lt;0,0,(B25+C25+D25+E25+F25)*(-1))),0)))</f>
        <v>-</v>
      </c>
    </row>
    <row r="29" spans="1:7" ht="18.75">
      <c r="A29" s="34" t="s">
        <v>42</v>
      </c>
      <c r="B29" s="34"/>
      <c r="G29" s="11"/>
    </row>
    <row r="30" spans="6:14" ht="12.75">
      <c r="F30" s="29"/>
      <c r="G30" s="11"/>
      <c r="H30" s="184" t="s">
        <v>139</v>
      </c>
      <c r="I30" s="185"/>
      <c r="J30" s="185"/>
      <c r="K30" s="186" t="str">
        <f>IF((B21+C21+D21+E21+F21)=0,"-",IF((IF((B22+C22+D22+E22+F22)=0,0,ROUNDUP(I33/(B22+C22+D22+E22+F22),0)))&lt;(IF((IF((B25+C25+D25+E25+F25)*(-1)&lt;0,0,(B25+C25+D25+E25+F25)*(-1)))=0,((J25*J22)/100)+1,((J24*J21)/100)/(IF((B25+C25+D25+E25+F25)*(-1)&lt;0,0,(B25+C25+D25+E25+F25)*(-1))))),(IF((B22+C22+D22+E22+F22)=0,0,ROUNDUP(((J25*J22)/100)/(B22+C22+D22+E22+F22),0)))+(ROUNDUP((((J24*J21)/100)-((IF((B22+C22+D22+E22+F22)=0,0,ROUNDUP(I33/(B22+C22+D22+E22+F22),0)))*(IF((B25+C25+D25+E25+F25)*(-1)&lt;0,0,(B25+C25+D25+E25+F25)*(-1)))))/((I2+J2+K2+L2+M2)*(-1)),0)),ROUNDUP(((J24*J21)/100)/(IF((B25+C25+D25+E25+F25)*(-1)&lt;0,0,(B25+C25+D25+E25+F25)*(-1))),0)))</f>
        <v>-</v>
      </c>
      <c r="L30" s="187" t="s">
        <v>140</v>
      </c>
      <c r="M30" s="187"/>
      <c r="N30" s="188"/>
    </row>
    <row r="31" spans="1:7" ht="15">
      <c r="A31" s="37" t="s">
        <v>40</v>
      </c>
      <c r="B31" s="31"/>
      <c r="G31" s="11"/>
    </row>
    <row r="33" spans="1:3" ht="12.75">
      <c r="A33" s="145" t="s">
        <v>37</v>
      </c>
      <c r="B33" s="146" t="s">
        <v>38</v>
      </c>
      <c r="C33" s="11"/>
    </row>
    <row r="34" spans="1:3" ht="12.75">
      <c r="A34" s="147" t="str">
        <f>IF(B34="-","-",1)</f>
        <v>-</v>
      </c>
      <c r="B34" s="148" t="str">
        <f>IF(OR(B3=0,(B21+C21+D21+E21+F21)=0),"-",(B14*(200-6.25*B4))/(100*(100-B14)))</f>
        <v>-</v>
      </c>
      <c r="C34" s="11"/>
    </row>
    <row r="36" spans="1:6" ht="12.75">
      <c r="A36">
        <f>IF(AND(A34="-",B34="-"),"","Hier wäre das optimale Life/Mana Verhältnis")</f>
      </c>
      <c r="D36" s="11">
        <f>IF(AND(A34="-",B34="-"),"",A34)</f>
      </c>
      <c r="E36" s="11">
        <f>IF(AND(A34="-",B34="-"),"","zu")</f>
      </c>
      <c r="F36" s="11">
        <f>IF(AND(A34="-",B34="-"),"",B34)</f>
      </c>
    </row>
    <row r="39" spans="1:8" ht="15">
      <c r="A39" s="36" t="s">
        <v>39</v>
      </c>
      <c r="H39" s="11"/>
    </row>
    <row r="41" spans="1:2" ht="12.75">
      <c r="A41" s="149" t="s">
        <v>41</v>
      </c>
      <c r="B41" s="146" t="s">
        <v>38</v>
      </c>
    </row>
    <row r="42" spans="1:7" ht="12.75">
      <c r="A42" s="147" t="str">
        <f>IF(B42=0,1,IF(B42="-","-",1))</f>
        <v>-</v>
      </c>
      <c r="B42" s="148" t="str">
        <f>IF(OR(B3=0,B6=0,B34="-"),"-",IF((B22+C22+D22+E22+F22-F26-(B15*(1/B6)))&lt;0,0,IF((((-1)*(B25+C25+D25+E25+F25))-(IF(E5="ja",(E11*(1/B6))*2,E11*(1/B6))))=0,"∞",IF((((-1)*(B25+C25+D25+E25+F25))-(IF(E5="ja",(E11*(1/B6))*2,E11*(1/B6))))&lt;0,"∞",(B22+C22+D22+E22+F22-F26-(B15*(1/B6)))/(((-1)*(B25+C25+D25+E25+F25))-(IF(E5="ja",(E11*(1/B6))*2,E11*(1/B6))))))))</f>
        <v>-</v>
      </c>
      <c r="G42" s="183"/>
    </row>
    <row r="44" spans="1:6" ht="12.75">
      <c r="A44">
        <f>IF(AND(A42="-",B42="-"),"","Hier wäre das optimale Life/Mana Verhältnis")</f>
      </c>
      <c r="D44" s="11">
        <f>IF(AND(A42="-",B42="-"),"",A42)</f>
      </c>
      <c r="E44" s="11">
        <f>IF(AND(A42="-",B42="-"),"","zu")</f>
      </c>
      <c r="F44" s="11">
        <f>IF(AND(A42="-",B42="-"),"",B42)</f>
      </c>
    </row>
    <row r="47" ht="15">
      <c r="A47" s="159" t="s">
        <v>43</v>
      </c>
    </row>
    <row r="49" spans="1:4" ht="12.75">
      <c r="A49" t="s">
        <v>44</v>
      </c>
      <c r="C49" s="11">
        <f>B13</f>
        <v>37</v>
      </c>
      <c r="D49" t="s">
        <v>109</v>
      </c>
    </row>
    <row r="50" ht="12.75">
      <c r="A50" t="s">
        <v>45</v>
      </c>
    </row>
    <row r="52" ht="15">
      <c r="A52" s="35" t="s">
        <v>40</v>
      </c>
    </row>
    <row r="54" spans="1:3" ht="12.75">
      <c r="A54" s="149" t="s">
        <v>41</v>
      </c>
      <c r="B54" s="146" t="s">
        <v>38</v>
      </c>
      <c r="C54" s="11"/>
    </row>
    <row r="55" spans="1:3" ht="12.75">
      <c r="A55" s="151" t="str">
        <f>IF(AND(A34="-",B34="-"),"-",ROUNDDOWN(B13/B34,0))</f>
        <v>-</v>
      </c>
      <c r="B55" s="150" t="str">
        <f>IF(A55="-","-",B13)</f>
        <v>-</v>
      </c>
      <c r="C55" s="11"/>
    </row>
    <row r="57" spans="1:6" ht="12.75">
      <c r="A57" s="128" t="s">
        <v>110</v>
      </c>
      <c r="B57" s="44"/>
      <c r="C57" s="44"/>
      <c r="D57" s="44"/>
      <c r="E57" s="44"/>
      <c r="F57" s="58" t="str">
        <f>IF(AND(A55="-",B55="-"),"-",ROUNDDOWN(IF(A55&lt;Stats!C48,0,IF(A55=Stats!C48,0,(A55-Stats!L18-(2*Stats!H18))/(2*(1+(Stats!N18+Stats!G34)/100))-20+((Stats!D37-1)/2)+(Stats!J18/2))),0))</f>
        <v>-</v>
      </c>
    </row>
    <row r="60" ht="15">
      <c r="A60" s="35" t="s">
        <v>39</v>
      </c>
    </row>
    <row r="62" spans="1:2" ht="12.75">
      <c r="A62" s="149" t="s">
        <v>41</v>
      </c>
      <c r="B62" s="146" t="s">
        <v>38</v>
      </c>
    </row>
    <row r="63" spans="1:2" ht="27" customHeight="1">
      <c r="A63" s="158" t="str">
        <f>IF(AND(A42="-",B42="-"),"-",IF(B42=0,"alles rein was geht ;)",IF(B42="∞",Stats!C48,ROUNDDOWN((B13/B42),0))))</f>
        <v>-</v>
      </c>
      <c r="B63" s="157" t="str">
        <f>IF(A63="-","-",B13)</f>
        <v>-</v>
      </c>
    </row>
    <row r="65" spans="1:6" ht="12.75">
      <c r="A65" s="128" t="s">
        <v>110</v>
      </c>
      <c r="B65" s="44"/>
      <c r="C65" s="44"/>
      <c r="D65" s="44"/>
      <c r="E65" s="44"/>
      <c r="F65" s="58" t="str">
        <f>IF(AND(A63="-",B63="-"),"-",IF(A63="alles rein was geht ;)",Stats!H45,ROUNDDOWN(IF(A63&lt;Stats!C48,0,IF(A63=Stats!C48,0,(A63-Stats!L18-(2*Stats!H18))/(2*(1+(Stats!N18+Stats!G34)/100))-20+((Stats!D37-1)/2)+(Stats!J18/2))),0)))</f>
        <v>-</v>
      </c>
    </row>
    <row r="68" ht="12.75">
      <c r="A68" t="s">
        <v>117</v>
      </c>
    </row>
  </sheetData>
  <printOptions/>
  <pageMargins left="0.75" right="0.75" top="1" bottom="1" header="0.4921259845" footer="0.492125984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R49"/>
  <sheetViews>
    <sheetView tabSelected="1" zoomScale="86" zoomScaleNormal="86" workbookViewId="0" topLeftCell="A24">
      <selection activeCell="C49" sqref="C49"/>
    </sheetView>
  </sheetViews>
  <sheetFormatPr defaultColWidth="11.421875" defaultRowHeight="12.75"/>
  <cols>
    <col min="2" max="2" width="10.8515625" style="0" customWidth="1"/>
    <col min="3" max="3" width="11.8515625" style="0" customWidth="1"/>
    <col min="4" max="4" width="11.28125" style="0" customWidth="1"/>
    <col min="5" max="5" width="8.421875" style="0" customWidth="1"/>
    <col min="7" max="7" width="9.00390625" style="0" customWidth="1"/>
    <col min="8" max="8" width="11.140625" style="0" customWidth="1"/>
    <col min="9" max="9" width="8.7109375" style="0" customWidth="1"/>
    <col min="10" max="10" width="11.140625" style="0" customWidth="1"/>
    <col min="11" max="11" width="9.140625" style="0" customWidth="1"/>
    <col min="12" max="12" width="10.57421875" style="0" customWidth="1"/>
    <col min="13" max="13" width="9.421875" style="0" customWidth="1"/>
    <col min="14" max="14" width="10.8515625" style="0" customWidth="1"/>
    <col min="15" max="16" width="9.7109375" style="0" customWidth="1"/>
  </cols>
  <sheetData>
    <row r="1" spans="1:3" ht="12.75">
      <c r="A1" s="46" t="s">
        <v>97</v>
      </c>
      <c r="B1" s="46"/>
      <c r="C1" s="47" t="s">
        <v>113</v>
      </c>
    </row>
    <row r="3" spans="1:18" ht="12.75">
      <c r="A3" s="16"/>
      <c r="B3" s="63" t="s">
        <v>60</v>
      </c>
      <c r="C3" s="64" t="s">
        <v>61</v>
      </c>
      <c r="D3" s="65" t="s">
        <v>62</v>
      </c>
      <c r="E3" s="66" t="s">
        <v>63</v>
      </c>
      <c r="F3" s="67" t="s">
        <v>68</v>
      </c>
      <c r="G3" s="68" t="s">
        <v>69</v>
      </c>
      <c r="H3" s="69" t="s">
        <v>70</v>
      </c>
      <c r="I3" s="64" t="s">
        <v>67</v>
      </c>
      <c r="J3" s="69" t="s">
        <v>71</v>
      </c>
      <c r="K3" s="64" t="s">
        <v>38</v>
      </c>
      <c r="L3" s="69" t="s">
        <v>72</v>
      </c>
      <c r="M3" s="64" t="s">
        <v>73</v>
      </c>
      <c r="N3" s="69" t="s">
        <v>74</v>
      </c>
      <c r="O3" s="70" t="s">
        <v>75</v>
      </c>
      <c r="P3" s="164" t="s">
        <v>118</v>
      </c>
      <c r="Q3" s="165" t="s">
        <v>119</v>
      </c>
      <c r="R3" s="166" t="s">
        <v>120</v>
      </c>
    </row>
    <row r="4" spans="1:18" ht="12.75">
      <c r="A4" s="43" t="s">
        <v>46</v>
      </c>
      <c r="B4" s="71">
        <v>0</v>
      </c>
      <c r="C4" s="72">
        <v>0</v>
      </c>
      <c r="D4" s="73">
        <v>0</v>
      </c>
      <c r="E4" s="74">
        <v>0</v>
      </c>
      <c r="F4" s="75">
        <v>0</v>
      </c>
      <c r="G4" s="76">
        <v>0</v>
      </c>
      <c r="H4" s="77">
        <v>0</v>
      </c>
      <c r="I4" s="72">
        <v>0</v>
      </c>
      <c r="J4" s="77">
        <v>0</v>
      </c>
      <c r="K4" s="72">
        <v>0</v>
      </c>
      <c r="L4" s="77">
        <v>0</v>
      </c>
      <c r="M4" s="72">
        <v>0</v>
      </c>
      <c r="N4" s="77">
        <v>0</v>
      </c>
      <c r="O4" s="78">
        <v>0</v>
      </c>
      <c r="P4" s="167">
        <v>0</v>
      </c>
      <c r="Q4" s="168">
        <v>0</v>
      </c>
      <c r="R4" s="169">
        <v>0</v>
      </c>
    </row>
    <row r="5" spans="1:18" ht="12.75">
      <c r="A5" s="39" t="s">
        <v>47</v>
      </c>
      <c r="B5" s="79">
        <v>0</v>
      </c>
      <c r="C5" s="80">
        <v>0</v>
      </c>
      <c r="D5" s="5">
        <v>0</v>
      </c>
      <c r="E5" s="81">
        <v>0</v>
      </c>
      <c r="F5" s="82">
        <v>0</v>
      </c>
      <c r="G5" s="83">
        <v>0</v>
      </c>
      <c r="H5" s="4">
        <v>0</v>
      </c>
      <c r="I5" s="80">
        <v>0</v>
      </c>
      <c r="J5" s="4">
        <v>0</v>
      </c>
      <c r="K5" s="80">
        <v>0</v>
      </c>
      <c r="L5" s="4">
        <v>0</v>
      </c>
      <c r="M5" s="80">
        <v>0</v>
      </c>
      <c r="N5" s="4">
        <v>0</v>
      </c>
      <c r="O5" s="84">
        <v>0</v>
      </c>
      <c r="P5" s="4">
        <v>0</v>
      </c>
      <c r="Q5" s="80">
        <v>0</v>
      </c>
      <c r="R5" s="5">
        <v>0</v>
      </c>
    </row>
    <row r="6" spans="1:18" ht="12.75">
      <c r="A6" s="39" t="s">
        <v>48</v>
      </c>
      <c r="B6" s="79">
        <v>0</v>
      </c>
      <c r="C6" s="80">
        <v>0</v>
      </c>
      <c r="D6" s="5">
        <v>0</v>
      </c>
      <c r="E6" s="81">
        <v>0</v>
      </c>
      <c r="F6" s="82">
        <v>0</v>
      </c>
      <c r="G6" s="83">
        <v>0</v>
      </c>
      <c r="H6" s="4">
        <v>0</v>
      </c>
      <c r="I6" s="80">
        <v>0</v>
      </c>
      <c r="J6" s="4">
        <v>0</v>
      </c>
      <c r="K6" s="80">
        <v>0</v>
      </c>
      <c r="L6" s="4">
        <v>0</v>
      </c>
      <c r="M6" s="80">
        <v>0</v>
      </c>
      <c r="N6" s="4">
        <v>0</v>
      </c>
      <c r="O6" s="84">
        <v>0</v>
      </c>
      <c r="P6" s="4">
        <v>0</v>
      </c>
      <c r="Q6" s="80">
        <v>0</v>
      </c>
      <c r="R6" s="5">
        <v>0</v>
      </c>
    </row>
    <row r="7" spans="1:18" ht="12.75">
      <c r="A7" s="39" t="s">
        <v>49</v>
      </c>
      <c r="B7" s="79">
        <v>0</v>
      </c>
      <c r="C7" s="80">
        <v>0</v>
      </c>
      <c r="D7" s="5">
        <v>0</v>
      </c>
      <c r="E7" s="81">
        <v>0</v>
      </c>
      <c r="F7" s="82">
        <v>0</v>
      </c>
      <c r="G7" s="83">
        <v>0</v>
      </c>
      <c r="H7" s="4">
        <v>0</v>
      </c>
      <c r="I7" s="80">
        <v>0</v>
      </c>
      <c r="J7" s="4">
        <v>0</v>
      </c>
      <c r="K7" s="80">
        <v>0</v>
      </c>
      <c r="L7" s="4">
        <v>0</v>
      </c>
      <c r="M7" s="80">
        <v>0</v>
      </c>
      <c r="N7" s="4">
        <v>0</v>
      </c>
      <c r="O7" s="84">
        <v>0</v>
      </c>
      <c r="P7" s="4">
        <v>0</v>
      </c>
      <c r="Q7" s="80">
        <v>0</v>
      </c>
      <c r="R7" s="5">
        <v>0</v>
      </c>
    </row>
    <row r="8" spans="1:18" ht="12.75">
      <c r="A8" s="39" t="s">
        <v>50</v>
      </c>
      <c r="B8" s="79">
        <v>0</v>
      </c>
      <c r="C8" s="80">
        <v>0</v>
      </c>
      <c r="D8" s="5">
        <v>0</v>
      </c>
      <c r="E8" s="81">
        <v>0</v>
      </c>
      <c r="F8" s="82">
        <v>0</v>
      </c>
      <c r="G8" s="83">
        <v>0</v>
      </c>
      <c r="H8" s="4">
        <v>0</v>
      </c>
      <c r="I8" s="80">
        <v>0</v>
      </c>
      <c r="J8" s="4">
        <v>0</v>
      </c>
      <c r="K8" s="80">
        <v>0</v>
      </c>
      <c r="L8" s="4">
        <v>0</v>
      </c>
      <c r="M8" s="80">
        <v>0</v>
      </c>
      <c r="N8" s="4">
        <v>0</v>
      </c>
      <c r="O8" s="84">
        <v>0</v>
      </c>
      <c r="P8" s="4">
        <v>0</v>
      </c>
      <c r="Q8" s="80">
        <v>0</v>
      </c>
      <c r="R8" s="5">
        <v>0</v>
      </c>
    </row>
    <row r="9" spans="1:18" ht="12.75">
      <c r="A9" s="39" t="s">
        <v>51</v>
      </c>
      <c r="B9" s="79">
        <v>0</v>
      </c>
      <c r="C9" s="80">
        <v>0</v>
      </c>
      <c r="D9" s="5">
        <v>0</v>
      </c>
      <c r="E9" s="81">
        <v>0</v>
      </c>
      <c r="F9" s="82">
        <v>0</v>
      </c>
      <c r="G9" s="83">
        <v>0</v>
      </c>
      <c r="H9" s="4">
        <v>0</v>
      </c>
      <c r="I9" s="80">
        <v>0</v>
      </c>
      <c r="J9" s="4">
        <v>0</v>
      </c>
      <c r="K9" s="80">
        <v>0</v>
      </c>
      <c r="L9" s="4">
        <v>0</v>
      </c>
      <c r="M9" s="80">
        <v>0</v>
      </c>
      <c r="N9" s="4">
        <v>0</v>
      </c>
      <c r="O9" s="84">
        <v>0</v>
      </c>
      <c r="P9" s="4">
        <v>0</v>
      </c>
      <c r="Q9" s="80">
        <v>0</v>
      </c>
      <c r="R9" s="5">
        <v>0</v>
      </c>
    </row>
    <row r="10" spans="1:18" ht="12.75">
      <c r="A10" s="39" t="s">
        <v>52</v>
      </c>
      <c r="B10" s="79">
        <v>0</v>
      </c>
      <c r="C10" s="80">
        <v>0</v>
      </c>
      <c r="D10" s="5">
        <v>0</v>
      </c>
      <c r="E10" s="81">
        <v>0</v>
      </c>
      <c r="F10" s="82">
        <v>0</v>
      </c>
      <c r="G10" s="83">
        <v>0</v>
      </c>
      <c r="H10" s="4">
        <v>0</v>
      </c>
      <c r="I10" s="80">
        <v>0</v>
      </c>
      <c r="J10" s="4">
        <v>0</v>
      </c>
      <c r="K10" s="80">
        <v>0</v>
      </c>
      <c r="L10" s="4">
        <v>0</v>
      </c>
      <c r="M10" s="80">
        <v>0</v>
      </c>
      <c r="N10" s="4">
        <v>0</v>
      </c>
      <c r="O10" s="84">
        <v>0</v>
      </c>
      <c r="P10" s="4">
        <v>0</v>
      </c>
      <c r="Q10" s="80">
        <v>0</v>
      </c>
      <c r="R10" s="5">
        <v>0</v>
      </c>
    </row>
    <row r="11" spans="1:18" ht="12.75">
      <c r="A11" s="39" t="s">
        <v>53</v>
      </c>
      <c r="B11" s="79">
        <v>0</v>
      </c>
      <c r="C11" s="80">
        <v>0</v>
      </c>
      <c r="D11" s="5">
        <v>0</v>
      </c>
      <c r="E11" s="81">
        <v>0</v>
      </c>
      <c r="F11" s="82">
        <v>0</v>
      </c>
      <c r="G11" s="83">
        <v>0</v>
      </c>
      <c r="H11" s="4">
        <v>0</v>
      </c>
      <c r="I11" s="80">
        <v>0</v>
      </c>
      <c r="J11" s="4">
        <v>0</v>
      </c>
      <c r="K11" s="80">
        <v>0</v>
      </c>
      <c r="L11" s="4">
        <v>0</v>
      </c>
      <c r="M11" s="80">
        <v>0</v>
      </c>
      <c r="N11" s="4">
        <v>0</v>
      </c>
      <c r="O11" s="84">
        <v>0</v>
      </c>
      <c r="P11" s="4">
        <v>0</v>
      </c>
      <c r="Q11" s="80">
        <v>0</v>
      </c>
      <c r="R11" s="5">
        <v>0</v>
      </c>
    </row>
    <row r="12" spans="1:18" ht="12.75">
      <c r="A12" s="39" t="s">
        <v>55</v>
      </c>
      <c r="B12" s="79">
        <v>0</v>
      </c>
      <c r="C12" s="80">
        <v>0</v>
      </c>
      <c r="D12" s="5">
        <v>0</v>
      </c>
      <c r="E12" s="81">
        <v>0</v>
      </c>
      <c r="F12" s="82">
        <v>0</v>
      </c>
      <c r="G12" s="83">
        <v>0</v>
      </c>
      <c r="H12" s="4">
        <v>0</v>
      </c>
      <c r="I12" s="80">
        <v>0</v>
      </c>
      <c r="J12" s="4">
        <v>0</v>
      </c>
      <c r="K12" s="80">
        <v>0</v>
      </c>
      <c r="L12" s="4">
        <v>0</v>
      </c>
      <c r="M12" s="80">
        <v>0</v>
      </c>
      <c r="N12" s="4">
        <v>0</v>
      </c>
      <c r="O12" s="84">
        <v>0</v>
      </c>
      <c r="P12" s="4">
        <v>0</v>
      </c>
      <c r="Q12" s="80">
        <v>0</v>
      </c>
      <c r="R12" s="5">
        <v>0</v>
      </c>
    </row>
    <row r="13" spans="1:18" ht="12.75">
      <c r="A13" s="39" t="s">
        <v>54</v>
      </c>
      <c r="B13" s="79">
        <v>0</v>
      </c>
      <c r="C13" s="80">
        <v>0</v>
      </c>
      <c r="D13" s="5">
        <v>0</v>
      </c>
      <c r="E13" s="81">
        <v>0</v>
      </c>
      <c r="F13" s="82">
        <v>0</v>
      </c>
      <c r="G13" s="83">
        <v>0</v>
      </c>
      <c r="H13" s="4">
        <v>0</v>
      </c>
      <c r="I13" s="80">
        <v>0</v>
      </c>
      <c r="J13" s="4">
        <v>0</v>
      </c>
      <c r="K13" s="80">
        <v>0</v>
      </c>
      <c r="L13" s="4">
        <v>0</v>
      </c>
      <c r="M13" s="80">
        <v>0</v>
      </c>
      <c r="N13" s="4">
        <v>0</v>
      </c>
      <c r="O13" s="84">
        <v>0</v>
      </c>
      <c r="P13" s="4">
        <v>0</v>
      </c>
      <c r="Q13" s="80">
        <v>0</v>
      </c>
      <c r="R13" s="5">
        <v>0</v>
      </c>
    </row>
    <row r="14" spans="1:18" ht="12.75">
      <c r="A14" s="39" t="s">
        <v>56</v>
      </c>
      <c r="B14" s="79">
        <v>0</v>
      </c>
      <c r="C14" s="80">
        <v>0</v>
      </c>
      <c r="D14" s="5">
        <v>0</v>
      </c>
      <c r="E14" s="81">
        <v>0</v>
      </c>
      <c r="F14" s="82">
        <v>0</v>
      </c>
      <c r="G14" s="83">
        <v>0</v>
      </c>
      <c r="H14" s="4">
        <v>0</v>
      </c>
      <c r="I14" s="80">
        <v>0</v>
      </c>
      <c r="J14" s="4">
        <v>0</v>
      </c>
      <c r="K14" s="80">
        <v>0</v>
      </c>
      <c r="L14" s="4">
        <v>0</v>
      </c>
      <c r="M14" s="80">
        <v>0</v>
      </c>
      <c r="N14" s="4">
        <v>0</v>
      </c>
      <c r="O14" s="84">
        <v>0</v>
      </c>
      <c r="P14" s="4">
        <v>0</v>
      </c>
      <c r="Q14" s="80">
        <v>0</v>
      </c>
      <c r="R14" s="5">
        <v>0</v>
      </c>
    </row>
    <row r="15" spans="1:18" ht="12.75">
      <c r="A15" s="39" t="s">
        <v>57</v>
      </c>
      <c r="B15" s="79">
        <v>0</v>
      </c>
      <c r="C15" s="80">
        <v>0</v>
      </c>
      <c r="D15" s="5">
        <v>0</v>
      </c>
      <c r="E15" s="81">
        <v>0</v>
      </c>
      <c r="F15" s="82">
        <v>0</v>
      </c>
      <c r="G15" s="83">
        <v>0</v>
      </c>
      <c r="H15" s="4">
        <v>0</v>
      </c>
      <c r="I15" s="80">
        <v>0</v>
      </c>
      <c r="J15" s="4">
        <v>0</v>
      </c>
      <c r="K15" s="80">
        <v>0</v>
      </c>
      <c r="L15" s="4">
        <v>0</v>
      </c>
      <c r="M15" s="80">
        <v>0</v>
      </c>
      <c r="N15" s="4">
        <v>0</v>
      </c>
      <c r="O15" s="84">
        <v>0</v>
      </c>
      <c r="P15" s="4">
        <v>0</v>
      </c>
      <c r="Q15" s="80">
        <v>0</v>
      </c>
      <c r="R15" s="5">
        <v>0</v>
      </c>
    </row>
    <row r="16" spans="1:18" ht="12.75">
      <c r="A16" s="39" t="s">
        <v>58</v>
      </c>
      <c r="B16" s="79">
        <v>0</v>
      </c>
      <c r="C16" s="80">
        <v>0</v>
      </c>
      <c r="D16" s="5">
        <v>0</v>
      </c>
      <c r="E16" s="81">
        <v>0</v>
      </c>
      <c r="F16" s="82">
        <v>0</v>
      </c>
      <c r="G16" s="83">
        <v>0</v>
      </c>
      <c r="H16" s="4">
        <v>0</v>
      </c>
      <c r="I16" s="80">
        <v>0</v>
      </c>
      <c r="J16" s="4">
        <v>0</v>
      </c>
      <c r="K16" s="80">
        <v>0</v>
      </c>
      <c r="L16" s="4">
        <v>0</v>
      </c>
      <c r="M16" s="80">
        <v>0</v>
      </c>
      <c r="N16" s="4">
        <v>0</v>
      </c>
      <c r="O16" s="84">
        <v>0</v>
      </c>
      <c r="P16" s="4">
        <v>0</v>
      </c>
      <c r="Q16" s="80">
        <v>0</v>
      </c>
      <c r="R16" s="5">
        <v>0</v>
      </c>
    </row>
    <row r="17" spans="1:18" ht="13.5" thickBot="1">
      <c r="A17" s="40" t="s">
        <v>59</v>
      </c>
      <c r="B17" s="85">
        <v>0</v>
      </c>
      <c r="C17" s="86">
        <v>0</v>
      </c>
      <c r="D17" s="87">
        <v>0</v>
      </c>
      <c r="E17" s="88">
        <v>0</v>
      </c>
      <c r="F17" s="89">
        <v>0</v>
      </c>
      <c r="G17" s="90">
        <v>0</v>
      </c>
      <c r="H17" s="91">
        <v>0</v>
      </c>
      <c r="I17" s="86">
        <v>0</v>
      </c>
      <c r="J17" s="91">
        <v>0</v>
      </c>
      <c r="K17" s="86">
        <v>0</v>
      </c>
      <c r="L17" s="91">
        <v>0</v>
      </c>
      <c r="M17" s="86">
        <v>0</v>
      </c>
      <c r="N17" s="91">
        <v>0</v>
      </c>
      <c r="O17" s="92">
        <v>0</v>
      </c>
      <c r="P17" s="91">
        <v>0</v>
      </c>
      <c r="Q17" s="86">
        <v>0</v>
      </c>
      <c r="R17" s="87">
        <v>0</v>
      </c>
    </row>
    <row r="18" spans="1:18" ht="13.5" thickBot="1">
      <c r="A18" s="41" t="s">
        <v>76</v>
      </c>
      <c r="B18" s="93">
        <f>IF(C1="Norm",SUM(B4:B17),IF(C1="Alp",SUM(B4:B17)-40,IF(C1="hell",SUM(B4:B17)-100)))</f>
        <v>0</v>
      </c>
      <c r="C18" s="94">
        <f>IF(C1="Norm",SUM(C4:C17),IF(C1="Alp",SUM(C4:C17)-40,IF(C1="hell",SUM(C4:C17)-100)))</f>
        <v>0</v>
      </c>
      <c r="D18" s="95">
        <f>IF(C1="Norm",SUM(D4:D17),IF(C1="Alp",SUM(D4:D17)-40,IF(C1="hell",SUM(D4:D17)-100)))</f>
        <v>0</v>
      </c>
      <c r="E18" s="96">
        <f>IF(C1="Norm",SUM(E4:E17),IF(C1="Alp",SUM(E4:E17)-40,IF(C1="hell",SUM(E4:E17)-100)))</f>
        <v>0</v>
      </c>
      <c r="F18" s="97">
        <f aca="true" t="shared" si="0" ref="F18:R18">SUM(F4:F17)</f>
        <v>0</v>
      </c>
      <c r="G18" s="98">
        <f t="shared" si="0"/>
        <v>0</v>
      </c>
      <c r="H18" s="99">
        <f t="shared" si="0"/>
        <v>0</v>
      </c>
      <c r="I18" s="94">
        <f t="shared" si="0"/>
        <v>0</v>
      </c>
      <c r="J18" s="99">
        <f t="shared" si="0"/>
        <v>0</v>
      </c>
      <c r="K18" s="94">
        <f t="shared" si="0"/>
        <v>0</v>
      </c>
      <c r="L18" s="99">
        <f t="shared" si="0"/>
        <v>0</v>
      </c>
      <c r="M18" s="94">
        <f t="shared" si="0"/>
        <v>0</v>
      </c>
      <c r="N18" s="99">
        <f t="shared" si="0"/>
        <v>0</v>
      </c>
      <c r="O18" s="100">
        <f t="shared" si="0"/>
        <v>0</v>
      </c>
      <c r="P18" s="99">
        <f t="shared" si="0"/>
        <v>0</v>
      </c>
      <c r="Q18" s="94">
        <f t="shared" si="0"/>
        <v>0</v>
      </c>
      <c r="R18" s="95">
        <f t="shared" si="0"/>
        <v>0</v>
      </c>
    </row>
    <row r="19" spans="2:15" ht="13.5" thickTop="1">
      <c r="B19" s="11"/>
      <c r="C19" s="11"/>
      <c r="D19" s="11"/>
      <c r="E19" s="11"/>
      <c r="F19" s="11"/>
      <c r="G19" s="11"/>
      <c r="H19" s="11"/>
      <c r="I19" s="11"/>
      <c r="J19" s="11"/>
      <c r="K19" s="11"/>
      <c r="L19" s="11"/>
      <c r="M19" s="11"/>
      <c r="N19" s="11"/>
      <c r="O19" s="11"/>
    </row>
    <row r="20" spans="1:17" ht="51">
      <c r="A20" s="16"/>
      <c r="B20" s="101" t="s">
        <v>77</v>
      </c>
      <c r="C20" s="102" t="s">
        <v>78</v>
      </c>
      <c r="D20" s="103" t="s">
        <v>79</v>
      </c>
      <c r="E20" s="103" t="s">
        <v>80</v>
      </c>
      <c r="F20" s="104" t="s">
        <v>81</v>
      </c>
      <c r="G20" s="104" t="s">
        <v>82</v>
      </c>
      <c r="H20" s="105" t="s">
        <v>83</v>
      </c>
      <c r="I20" s="105" t="s">
        <v>84</v>
      </c>
      <c r="J20" s="106" t="s">
        <v>87</v>
      </c>
      <c r="K20" s="106" t="s">
        <v>86</v>
      </c>
      <c r="L20" s="107" t="s">
        <v>85</v>
      </c>
      <c r="M20" s="108" t="s">
        <v>88</v>
      </c>
      <c r="N20" s="139" t="s">
        <v>107</v>
      </c>
      <c r="O20" s="144" t="s">
        <v>108</v>
      </c>
      <c r="P20" s="139" t="s">
        <v>26</v>
      </c>
      <c r="Q20" s="139" t="s">
        <v>126</v>
      </c>
    </row>
    <row r="21" spans="1:17" ht="12.75">
      <c r="A21" s="43" t="s">
        <v>46</v>
      </c>
      <c r="B21" s="109">
        <v>0</v>
      </c>
      <c r="C21" s="75">
        <v>0</v>
      </c>
      <c r="D21" s="77">
        <v>0</v>
      </c>
      <c r="E21" s="77">
        <v>0</v>
      </c>
      <c r="F21" s="72">
        <v>0</v>
      </c>
      <c r="G21" s="72">
        <v>0</v>
      </c>
      <c r="H21" s="73">
        <v>0</v>
      </c>
      <c r="I21" s="73">
        <v>0</v>
      </c>
      <c r="J21" s="110">
        <v>0</v>
      </c>
      <c r="K21" s="110">
        <v>0</v>
      </c>
      <c r="L21" s="111">
        <v>0</v>
      </c>
      <c r="M21" s="112">
        <v>0</v>
      </c>
      <c r="N21" s="140">
        <v>0</v>
      </c>
      <c r="O21" s="143">
        <v>0</v>
      </c>
      <c r="P21" s="140">
        <v>0</v>
      </c>
      <c r="Q21" s="140">
        <v>0</v>
      </c>
    </row>
    <row r="22" spans="1:17" ht="12.75" customHeight="1">
      <c r="A22" s="39" t="s">
        <v>47</v>
      </c>
      <c r="B22" s="113">
        <v>0</v>
      </c>
      <c r="C22" s="82">
        <v>0</v>
      </c>
      <c r="D22" s="4">
        <v>0</v>
      </c>
      <c r="E22" s="4">
        <v>0</v>
      </c>
      <c r="F22" s="80">
        <v>0</v>
      </c>
      <c r="G22" s="80">
        <v>0</v>
      </c>
      <c r="H22" s="5">
        <v>0</v>
      </c>
      <c r="I22" s="5">
        <v>0</v>
      </c>
      <c r="J22" s="6">
        <v>0</v>
      </c>
      <c r="K22" s="6">
        <v>0</v>
      </c>
      <c r="L22" s="114">
        <v>0</v>
      </c>
      <c r="M22" s="115">
        <v>0</v>
      </c>
      <c r="N22" s="138">
        <v>0</v>
      </c>
      <c r="O22" s="138">
        <v>0</v>
      </c>
      <c r="P22" s="137">
        <v>0</v>
      </c>
      <c r="Q22" s="137">
        <v>0</v>
      </c>
    </row>
    <row r="23" spans="1:17" ht="12.75">
      <c r="A23" s="39" t="s">
        <v>48</v>
      </c>
      <c r="B23" s="113">
        <v>0</v>
      </c>
      <c r="C23" s="82">
        <v>0</v>
      </c>
      <c r="D23" s="4">
        <v>0</v>
      </c>
      <c r="E23" s="4">
        <v>0</v>
      </c>
      <c r="F23" s="80">
        <v>0</v>
      </c>
      <c r="G23" s="80">
        <v>0</v>
      </c>
      <c r="H23" s="5">
        <v>0</v>
      </c>
      <c r="I23" s="5">
        <v>0</v>
      </c>
      <c r="J23" s="6">
        <v>0</v>
      </c>
      <c r="K23" s="6">
        <v>0</v>
      </c>
      <c r="L23" s="114">
        <v>0</v>
      </c>
      <c r="M23" s="61">
        <v>0</v>
      </c>
      <c r="N23" s="137">
        <v>0</v>
      </c>
      <c r="O23" s="137">
        <v>0</v>
      </c>
      <c r="P23" s="137">
        <v>0</v>
      </c>
      <c r="Q23" s="137">
        <v>0</v>
      </c>
    </row>
    <row r="24" spans="1:17" ht="12.75">
      <c r="A24" s="39" t="s">
        <v>49</v>
      </c>
      <c r="B24" s="113">
        <v>0</v>
      </c>
      <c r="C24" s="82">
        <v>0</v>
      </c>
      <c r="D24" s="4">
        <v>0</v>
      </c>
      <c r="E24" s="4">
        <v>0</v>
      </c>
      <c r="F24" s="80">
        <v>0</v>
      </c>
      <c r="G24" s="80">
        <v>0</v>
      </c>
      <c r="H24" s="5">
        <v>0</v>
      </c>
      <c r="I24" s="5">
        <v>0</v>
      </c>
      <c r="J24" s="6">
        <v>0</v>
      </c>
      <c r="K24" s="6">
        <v>0</v>
      </c>
      <c r="L24" s="114">
        <v>0</v>
      </c>
      <c r="M24" s="61">
        <v>0</v>
      </c>
      <c r="N24" s="137">
        <v>0</v>
      </c>
      <c r="O24" s="137">
        <v>0</v>
      </c>
      <c r="P24" s="137">
        <v>0</v>
      </c>
      <c r="Q24" s="137">
        <v>0</v>
      </c>
    </row>
    <row r="25" spans="1:17" ht="12.75">
      <c r="A25" s="39" t="s">
        <v>50</v>
      </c>
      <c r="B25" s="113">
        <v>0</v>
      </c>
      <c r="C25" s="82">
        <v>0</v>
      </c>
      <c r="D25" s="4">
        <v>0</v>
      </c>
      <c r="E25" s="4">
        <v>0</v>
      </c>
      <c r="F25" s="80">
        <v>0</v>
      </c>
      <c r="G25" s="80">
        <v>0</v>
      </c>
      <c r="H25" s="5">
        <v>0</v>
      </c>
      <c r="I25" s="5">
        <v>0</v>
      </c>
      <c r="J25" s="6">
        <v>0</v>
      </c>
      <c r="K25" s="6">
        <v>0</v>
      </c>
      <c r="L25" s="114">
        <v>0</v>
      </c>
      <c r="M25" s="61">
        <v>0</v>
      </c>
      <c r="N25" s="137">
        <v>0</v>
      </c>
      <c r="O25" s="137">
        <v>0</v>
      </c>
      <c r="P25" s="137">
        <v>0</v>
      </c>
      <c r="Q25" s="137">
        <v>0</v>
      </c>
    </row>
    <row r="26" spans="1:17" ht="12.75">
      <c r="A26" s="39" t="s">
        <v>51</v>
      </c>
      <c r="B26" s="113">
        <v>0</v>
      </c>
      <c r="C26" s="82">
        <v>0</v>
      </c>
      <c r="D26" s="4">
        <v>0</v>
      </c>
      <c r="E26" s="4">
        <v>0</v>
      </c>
      <c r="F26" s="80">
        <v>0</v>
      </c>
      <c r="G26" s="80">
        <v>0</v>
      </c>
      <c r="H26" s="5">
        <v>0</v>
      </c>
      <c r="I26" s="5">
        <v>0</v>
      </c>
      <c r="J26" s="6">
        <v>0</v>
      </c>
      <c r="K26" s="6">
        <v>0</v>
      </c>
      <c r="L26" s="114">
        <v>0</v>
      </c>
      <c r="M26" s="61">
        <v>0</v>
      </c>
      <c r="N26" s="137">
        <v>0</v>
      </c>
      <c r="O26" s="137">
        <v>0</v>
      </c>
      <c r="P26" s="137">
        <v>0</v>
      </c>
      <c r="Q26" s="137">
        <v>0</v>
      </c>
    </row>
    <row r="27" spans="1:17" ht="12.75">
      <c r="A27" s="39" t="s">
        <v>52</v>
      </c>
      <c r="B27" s="113">
        <v>0</v>
      </c>
      <c r="C27" s="82">
        <v>0</v>
      </c>
      <c r="D27" s="4">
        <v>0</v>
      </c>
      <c r="E27" s="4">
        <v>0</v>
      </c>
      <c r="F27" s="80">
        <v>0</v>
      </c>
      <c r="G27" s="80">
        <v>0</v>
      </c>
      <c r="H27" s="5">
        <v>0</v>
      </c>
      <c r="I27" s="5">
        <v>0</v>
      </c>
      <c r="J27" s="6">
        <v>0</v>
      </c>
      <c r="K27" s="6">
        <v>0</v>
      </c>
      <c r="L27" s="114">
        <v>0</v>
      </c>
      <c r="M27" s="61">
        <v>0</v>
      </c>
      <c r="N27" s="137">
        <v>0</v>
      </c>
      <c r="O27" s="137">
        <v>0</v>
      </c>
      <c r="P27" s="137">
        <v>0</v>
      </c>
      <c r="Q27" s="137">
        <v>0</v>
      </c>
    </row>
    <row r="28" spans="1:17" ht="12.75">
      <c r="A28" s="39" t="s">
        <v>53</v>
      </c>
      <c r="B28" s="113">
        <v>0</v>
      </c>
      <c r="C28" s="82">
        <v>0</v>
      </c>
      <c r="D28" s="4">
        <v>0</v>
      </c>
      <c r="E28" s="4">
        <v>0</v>
      </c>
      <c r="F28" s="80">
        <v>0</v>
      </c>
      <c r="G28" s="80">
        <v>0</v>
      </c>
      <c r="H28" s="5">
        <v>0</v>
      </c>
      <c r="I28" s="5">
        <v>0</v>
      </c>
      <c r="J28" s="6">
        <v>0</v>
      </c>
      <c r="K28" s="6">
        <v>0</v>
      </c>
      <c r="L28" s="114">
        <v>0</v>
      </c>
      <c r="M28" s="61">
        <v>0</v>
      </c>
      <c r="N28" s="137">
        <v>0</v>
      </c>
      <c r="O28" s="137">
        <v>0</v>
      </c>
      <c r="P28" s="137">
        <v>0</v>
      </c>
      <c r="Q28" s="137">
        <v>0</v>
      </c>
    </row>
    <row r="29" spans="1:17" ht="12.75">
      <c r="A29" s="39" t="s">
        <v>55</v>
      </c>
      <c r="B29" s="113">
        <v>0</v>
      </c>
      <c r="C29" s="82">
        <v>0</v>
      </c>
      <c r="D29" s="4">
        <v>0</v>
      </c>
      <c r="E29" s="4">
        <v>0</v>
      </c>
      <c r="F29" s="80">
        <v>0</v>
      </c>
      <c r="G29" s="80">
        <v>0</v>
      </c>
      <c r="H29" s="5">
        <v>0</v>
      </c>
      <c r="I29" s="5">
        <v>0</v>
      </c>
      <c r="J29" s="6">
        <v>0</v>
      </c>
      <c r="K29" s="6">
        <v>0</v>
      </c>
      <c r="L29" s="114">
        <v>0</v>
      </c>
      <c r="M29" s="61">
        <v>0</v>
      </c>
      <c r="N29" s="137">
        <v>0</v>
      </c>
      <c r="O29" s="137">
        <v>0</v>
      </c>
      <c r="P29" s="137">
        <v>0</v>
      </c>
      <c r="Q29" s="137">
        <v>0</v>
      </c>
    </row>
    <row r="30" spans="1:17" ht="13.5" thickBot="1">
      <c r="A30" s="40" t="s">
        <v>54</v>
      </c>
      <c r="B30" s="116">
        <v>0</v>
      </c>
      <c r="C30" s="89">
        <v>0</v>
      </c>
      <c r="D30" s="91">
        <v>0</v>
      </c>
      <c r="E30" s="91">
        <v>0</v>
      </c>
      <c r="F30" s="86">
        <v>0</v>
      </c>
      <c r="G30" s="86">
        <v>0</v>
      </c>
      <c r="H30" s="87">
        <v>0</v>
      </c>
      <c r="I30" s="87">
        <v>0</v>
      </c>
      <c r="J30" s="117">
        <v>0</v>
      </c>
      <c r="K30" s="117">
        <v>0</v>
      </c>
      <c r="L30" s="118">
        <v>0</v>
      </c>
      <c r="M30" s="119">
        <v>0</v>
      </c>
      <c r="N30" s="141">
        <v>0</v>
      </c>
      <c r="O30" s="141">
        <v>0</v>
      </c>
      <c r="P30" s="141">
        <v>0</v>
      </c>
      <c r="Q30" s="141">
        <v>0</v>
      </c>
    </row>
    <row r="31" spans="1:17" ht="13.5" thickBot="1">
      <c r="A31" s="42" t="s">
        <v>76</v>
      </c>
      <c r="B31" s="120">
        <f aca="true" t="shared" si="1" ref="B31:P31">SUM(B21:B30)</f>
        <v>0</v>
      </c>
      <c r="C31" s="97">
        <f t="shared" si="1"/>
        <v>0</v>
      </c>
      <c r="D31" s="99">
        <f t="shared" si="1"/>
        <v>0</v>
      </c>
      <c r="E31" s="99">
        <f t="shared" si="1"/>
        <v>0</v>
      </c>
      <c r="F31" s="94">
        <f t="shared" si="1"/>
        <v>0</v>
      </c>
      <c r="G31" s="94">
        <f t="shared" si="1"/>
        <v>0</v>
      </c>
      <c r="H31" s="95">
        <f t="shared" si="1"/>
        <v>0</v>
      </c>
      <c r="I31" s="95">
        <f t="shared" si="1"/>
        <v>0</v>
      </c>
      <c r="J31" s="121">
        <f t="shared" si="1"/>
        <v>0</v>
      </c>
      <c r="K31" s="121">
        <f t="shared" si="1"/>
        <v>0</v>
      </c>
      <c r="L31" s="122">
        <f t="shared" si="1"/>
        <v>0</v>
      </c>
      <c r="M31" s="123">
        <f t="shared" si="1"/>
        <v>0</v>
      </c>
      <c r="N31" s="142">
        <f t="shared" si="1"/>
        <v>0</v>
      </c>
      <c r="O31" s="142">
        <f t="shared" si="1"/>
        <v>0</v>
      </c>
      <c r="P31" s="142">
        <f t="shared" si="1"/>
        <v>0</v>
      </c>
      <c r="Q31" s="142">
        <f>SUM(Q21:Q30)</f>
        <v>0</v>
      </c>
    </row>
    <row r="32" ht="13.5" thickTop="1"/>
    <row r="34" spans="1:7" ht="12.75">
      <c r="A34" s="48" t="s">
        <v>89</v>
      </c>
      <c r="B34" s="49"/>
      <c r="C34" s="49"/>
      <c r="D34" s="55" t="s">
        <v>112</v>
      </c>
      <c r="E34" s="50" t="s">
        <v>90</v>
      </c>
      <c r="F34" s="61" t="s">
        <v>92</v>
      </c>
      <c r="G34" s="58">
        <f>IF(D34="ja",35+((1+D35+D36+M31-M27-M23))*3,0)</f>
        <v>0</v>
      </c>
    </row>
    <row r="35" spans="1:4" ht="12.75">
      <c r="A35" s="48">
        <f>IF(D34="ja","Skillplus vom Schild im 2nd Slot?","")</f>
      </c>
      <c r="B35" s="49"/>
      <c r="C35" s="49"/>
      <c r="D35" s="55"/>
    </row>
    <row r="36" spans="1:4" ht="12.75">
      <c r="A36" s="53">
        <f>IF(D34="ja","Kampfbefehle Level vom CtA?","")</f>
      </c>
      <c r="B36" s="54"/>
      <c r="C36" s="54"/>
      <c r="D36" s="57"/>
    </row>
    <row r="37" spans="1:6" ht="12.75">
      <c r="A37" s="51" t="s">
        <v>91</v>
      </c>
      <c r="B37" s="52"/>
      <c r="C37" s="52"/>
      <c r="D37" s="56">
        <v>2</v>
      </c>
      <c r="F37" s="38" t="s">
        <v>105</v>
      </c>
    </row>
    <row r="38" spans="1:8" ht="12.75">
      <c r="A38" s="48" t="s">
        <v>104</v>
      </c>
      <c r="B38" s="49"/>
      <c r="C38" s="49"/>
      <c r="D38" s="55">
        <v>0</v>
      </c>
      <c r="F38" s="126" t="s">
        <v>98</v>
      </c>
      <c r="G38" s="127"/>
      <c r="H38" s="133">
        <f>IF(D45="ja",(15+(D37-1)*5)-D40-D41-D42-D43,((D37-1)*5)-D40-D41-D42-D43)</f>
        <v>5</v>
      </c>
    </row>
    <row r="39" spans="1:7" ht="12.75">
      <c r="A39" s="48" t="s">
        <v>103</v>
      </c>
      <c r="B39" s="49"/>
      <c r="C39" s="49"/>
      <c r="D39" s="134">
        <v>0</v>
      </c>
      <c r="F39" s="13" t="s">
        <v>64</v>
      </c>
      <c r="G39" s="130">
        <f>10+D40+F18</f>
        <v>10</v>
      </c>
    </row>
    <row r="40" spans="1:7" ht="12.75">
      <c r="A40" s="60" t="s">
        <v>99</v>
      </c>
      <c r="B40" s="59"/>
      <c r="C40" s="59"/>
      <c r="D40" s="62">
        <v>0</v>
      </c>
      <c r="F40" s="13" t="s">
        <v>65</v>
      </c>
      <c r="G40" s="130">
        <f>25+D41+G18</f>
        <v>25</v>
      </c>
    </row>
    <row r="41" spans="1:7" ht="12.75">
      <c r="A41" s="48" t="s">
        <v>101</v>
      </c>
      <c r="B41" s="49"/>
      <c r="C41" s="49"/>
      <c r="D41" s="55">
        <v>0</v>
      </c>
      <c r="F41" s="13" t="s">
        <v>66</v>
      </c>
      <c r="G41" s="130">
        <f>10+D42+H18</f>
        <v>10</v>
      </c>
    </row>
    <row r="42" spans="1:7" ht="12.75">
      <c r="A42" s="60" t="s">
        <v>100</v>
      </c>
      <c r="B42" s="59"/>
      <c r="C42" s="59"/>
      <c r="D42" s="62">
        <v>0</v>
      </c>
      <c r="F42" s="13" t="s">
        <v>67</v>
      </c>
      <c r="G42" s="130">
        <f>35+D43+I18</f>
        <v>35</v>
      </c>
    </row>
    <row r="43" spans="1:4" ht="12.75">
      <c r="A43" s="48" t="s">
        <v>102</v>
      </c>
      <c r="B43" s="49"/>
      <c r="C43" s="49"/>
      <c r="D43" s="55">
        <v>0</v>
      </c>
    </row>
    <row r="44" spans="1:6" ht="12.75">
      <c r="A44" s="60" t="s">
        <v>95</v>
      </c>
      <c r="B44" s="46"/>
      <c r="C44" s="46"/>
      <c r="D44" s="47" t="s">
        <v>112</v>
      </c>
      <c r="F44" s="135" t="s">
        <v>106</v>
      </c>
    </row>
    <row r="45" spans="1:8" ht="12.75">
      <c r="A45" s="60" t="s">
        <v>96</v>
      </c>
      <c r="B45" s="46"/>
      <c r="C45" s="46"/>
      <c r="D45" s="47" t="s">
        <v>112</v>
      </c>
      <c r="F45" s="124" t="s">
        <v>98</v>
      </c>
      <c r="G45" s="136"/>
      <c r="H45" s="130">
        <f>IF(D45="ja",(15+(D37-1)*5)-D40-D41-D42-D43,((D37-1)*5)-D40-D41-D42-D43)-(IF((D38-G39-F18)&lt;0,0,(D38-G39-F18)))-(IF((D39-G40-G18)&lt;0,0,(D39-G40-G18)))</f>
        <v>5</v>
      </c>
    </row>
    <row r="46" spans="6:7" ht="12.75">
      <c r="F46" s="125" t="s">
        <v>64</v>
      </c>
      <c r="G46" s="129">
        <f>IF(D38&lt;G39,G39,D38)</f>
        <v>10</v>
      </c>
    </row>
    <row r="47" spans="1:7" ht="12.75">
      <c r="A47" s="124" t="s">
        <v>93</v>
      </c>
      <c r="B47" s="45"/>
      <c r="C47" s="132">
        <f>ROUNDDOWN((35+2*D43+(D37-1)*2+K18)*(1+(O18+G34)/100)+(M18*D37)+(I18*2),0)</f>
        <v>37</v>
      </c>
      <c r="F47" s="128" t="s">
        <v>65</v>
      </c>
      <c r="G47" s="130">
        <f>IF(D39&lt;G40,G40,D39)</f>
        <v>25</v>
      </c>
    </row>
    <row r="48" spans="1:7" ht="12.75">
      <c r="A48" s="128" t="s">
        <v>94</v>
      </c>
      <c r="B48" s="44"/>
      <c r="C48" s="58">
        <f>ROUNDDOWN(IF(D44="ja",(100+(2*D42)+(D37-1)+J18)*(1+(N18+G34)/100)+(L18*D37)+(H18*2),(40+(D37-1)+J18)*(1+(N18+G34)/100)+(L18*D37)+(H18*2)),0)</f>
        <v>41</v>
      </c>
      <c r="F48" s="128" t="s">
        <v>66</v>
      </c>
      <c r="G48" s="130">
        <f>10+D42+H18</f>
        <v>10</v>
      </c>
    </row>
    <row r="49" spans="6:7" ht="12.75">
      <c r="F49" s="126" t="s">
        <v>67</v>
      </c>
      <c r="G49" s="131">
        <f>35+D43+I18</f>
        <v>35</v>
      </c>
    </row>
  </sheetData>
  <printOptions/>
  <pageMargins left="0.75" right="0.75" top="1" bottom="1" header="0.4921259845" footer="0.492125984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O17"/>
  <sheetViews>
    <sheetView workbookViewId="0" topLeftCell="C1">
      <selection activeCell="C1" sqref="C1"/>
    </sheetView>
  </sheetViews>
  <sheetFormatPr defaultColWidth="11.421875" defaultRowHeight="12.75"/>
  <cols>
    <col min="1" max="1" width="7.8515625" style="0" customWidth="1"/>
    <col min="2" max="3" width="13.00390625" style="0" customWidth="1"/>
    <col min="7" max="7" width="12.421875" style="0" customWidth="1"/>
  </cols>
  <sheetData>
    <row r="1" spans="1:15" ht="12.75">
      <c r="A1" s="8" t="s">
        <v>131</v>
      </c>
      <c r="B1" s="8"/>
      <c r="C1" s="55"/>
      <c r="F1" s="189"/>
      <c r="G1" s="163">
        <f>IF(OR(C1="Eisblitz",C1="Frostnova",C1="Eisstoß",C1="Gletschernadel",C1="Blizzard",C1="Frostphäre",C1="Comboblitz",C1="Statikfeld",C1="Telekinese",C1="Nova",C1="Blitzschlag",C1="Kettenblitz",C1="Teleport",C1="Feuerblitz",C1="Feueball",C1="Feuerwand",C1="Meteor",C1="Hydra"),1,0)</f>
        <v>0</v>
      </c>
      <c r="H1" s="163">
        <f>IF(C1="Eisblitz",3,IF(C1="Frostnova",8+C2*1,IF(C1="Eisstoß",5.5+C2*0.5,IF(C1="Gletschernadel",9.5+C2*0.5,IF(C1="Blizzard",22+C2*1,IF(C1="Frostphäre",24.5+C2*0.5,0))))))</f>
        <v>0</v>
      </c>
      <c r="I1" s="163">
        <f>IF(C1="Comboblitz",2.5+C2*0.5,IF(C1="Statikfeld",9,IF(C1="Telekinese",7,IF(C1="Nova",14+C2*1,IF(C1="Blitzschlag",7.5+C2*0.5,IF(C1="Kettenblitz",8+C2*1,IF(C1="Teleport",25-C2*1,0)))))))</f>
        <v>0</v>
      </c>
      <c r="J1" s="163">
        <f>IF(C1="Feuerblitz",2.5,IF(C1="Feuerball",4.5+C2*0.5,IF(C1="Feuerwand",21+C2*1,IF(C1="Meteor",16.5+C2*0.5,IF(C1="Hydra",19.5+C2*0.5,0)))))</f>
        <v>0</v>
      </c>
      <c r="K1" s="163"/>
      <c r="L1" s="163">
        <f>IF(AND(C2&gt;=1,C2&lt;=5),7,IF(AND(C2&gt;=6,C2&lt;=12),8,IF(AND(C2&gt;=13,C2&lt;=16),9,IF(AND(C2&gt;=17,C2&lt;=21),10,IF(AND(C2&gt;=22,C2&lt;=26),11,IF(AND(C2&gt;=27,C2&lt;=31),12,IF(AND(C2&gt;=32,C2&lt;=36),13,0)))))))</f>
        <v>0</v>
      </c>
      <c r="M1" s="163">
        <f>IF(AND(C2&gt;=37,C2&lt;=41),14,IF(AND(C2&gt;=42,C2&lt;=46),15,IF(AND(C2&gt;=47,C2&lt;=52),16,IF(AND(C2&gt;=53,C2&lt;=57),17,0))))</f>
        <v>0</v>
      </c>
      <c r="N1" s="189"/>
      <c r="O1" s="189"/>
    </row>
    <row r="2" spans="1:15" ht="12.75">
      <c r="A2" s="48" t="s">
        <v>125</v>
      </c>
      <c r="B2" s="170">
        <f>IF(G1=0,"",C1)</f>
      </c>
      <c r="C2" s="55">
        <v>0</v>
      </c>
      <c r="F2" s="189"/>
      <c r="G2" s="163"/>
      <c r="H2" s="163"/>
      <c r="I2" s="163"/>
      <c r="J2" s="163"/>
      <c r="K2" s="163"/>
      <c r="L2" s="163"/>
      <c r="M2" s="189"/>
      <c r="N2" s="189"/>
      <c r="O2" s="189"/>
    </row>
    <row r="3" spans="3:15" ht="12.75">
      <c r="C3" s="11"/>
      <c r="F3" s="189"/>
      <c r="G3" s="163"/>
      <c r="H3" s="191">
        <f>IF(AND(C6&gt;=0,C6&lt;=6),25/19,IF(AND(C6&gt;=7,C6&lt;=14),25/18,IF(AND(C6&gt;=15,C6&lt;=22),25/17,IF(AND(C6&gt;=23,C6&lt;=34),25/16,IF(AND(C6&gt;=35,C6&lt;=51),25/15,IF(AND(C6&gt;=52,C6&lt;=77),25/14,0))))))</f>
        <v>1.3157894736842106</v>
      </c>
      <c r="I3" s="163"/>
      <c r="J3" s="163">
        <f>IF(AND(C6&gt;=0,C6&lt;=8),25/13,IF(AND(C6&gt;=9,C6&lt;=19),25/12,IF(AND(C6&gt;=20,C6&lt;=36),25/11,IF(AND(C6&gt;=37,C6&lt;=62),25/10,IF(AND(C6&gt;=63,C6&lt;=104),25/9,IF(AND(C6&gt;=105,C6&lt;=199),25/8,IF(C6&gt;=199,25/7,0)))))))</f>
        <v>1.9230769230769231</v>
      </c>
      <c r="K3" s="163">
        <f>IF(OR(C1="Blitzschlag",C1="Kettenblitz"),(IF(H3&gt;H4,H3,IF(H4&gt;H3,H4,0))),0)</f>
        <v>0</v>
      </c>
      <c r="L3" s="163"/>
      <c r="M3" s="189"/>
      <c r="N3" s="189"/>
      <c r="O3" s="189"/>
    </row>
    <row r="4" spans="1:15" ht="12.75">
      <c r="A4" s="13" t="s">
        <v>93</v>
      </c>
      <c r="B4" s="13"/>
      <c r="C4" s="176">
        <f>Stats!C47</f>
        <v>37</v>
      </c>
      <c r="F4" s="189"/>
      <c r="G4" s="163"/>
      <c r="H4" s="191">
        <f>IF(AND(C6&gt;=78,C6&lt;=116),25/13,IF(AND(C6&gt;=117,C6&lt;=193),25/12,IF(C6&gt;=194,25/11,0)))</f>
        <v>0</v>
      </c>
      <c r="I4" s="163"/>
      <c r="J4" s="163">
        <f>IF(OR(C1="Blitzschlag",C1="Kettenblitz"),0,J3)</f>
        <v>1.9230769230769231</v>
      </c>
      <c r="K4" s="163"/>
      <c r="L4" s="163"/>
      <c r="M4" s="189"/>
      <c r="N4" s="189"/>
      <c r="O4" s="189"/>
    </row>
    <row r="5" spans="1:15" ht="12.75">
      <c r="A5" s="13" t="s">
        <v>122</v>
      </c>
      <c r="B5" s="13"/>
      <c r="C5" s="177">
        <f>(IF(C2=0,0,IF(C1="Inferno",IF(L1&gt;M1,L1,M1),IF(H1&gt;I1,H1,IF(H1&gt;J1,H1,IF(I1&gt;H1,I1,IF(I1&gt;J1,I1,IF(J1&gt;H1,J1,IF(J1&gt;I1,J1,0)))))))))</f>
        <v>0</v>
      </c>
      <c r="F5" s="189"/>
      <c r="G5" s="189"/>
      <c r="H5" s="189"/>
      <c r="I5" s="189"/>
      <c r="J5" s="189"/>
      <c r="K5" s="189"/>
      <c r="L5" s="189"/>
      <c r="M5" s="189"/>
      <c r="N5" s="189"/>
      <c r="O5" s="189"/>
    </row>
    <row r="6" spans="1:15" ht="12.75">
      <c r="A6" s="128" t="s">
        <v>127</v>
      </c>
      <c r="B6" s="171"/>
      <c r="C6" s="58">
        <f>Stats!Q31</f>
        <v>0</v>
      </c>
      <c r="F6" s="189"/>
      <c r="G6" s="189"/>
      <c r="H6" s="189"/>
      <c r="I6" s="189"/>
      <c r="J6" s="189"/>
      <c r="K6" s="189"/>
      <c r="L6" s="189"/>
      <c r="M6" s="189"/>
      <c r="N6" s="189"/>
      <c r="O6" s="189"/>
    </row>
    <row r="7" spans="1:15" ht="12.75">
      <c r="A7" s="13" t="s">
        <v>123</v>
      </c>
      <c r="B7" s="13"/>
      <c r="C7" s="58">
        <f>IF(C1="Frostphäre",1,IF(C1="Meteor",1.2,IF(C1="Feuerwand",1.4,IF(C1="Blizzard",1.8,IF(C1="Hydra",2,0)))))</f>
        <v>0</v>
      </c>
      <c r="F7" s="190"/>
      <c r="G7" s="189"/>
      <c r="H7" s="189"/>
      <c r="I7" s="189"/>
      <c r="J7" s="189"/>
      <c r="K7" s="189"/>
      <c r="L7" s="189"/>
      <c r="M7" s="189"/>
      <c r="N7" s="189"/>
      <c r="O7" s="189"/>
    </row>
    <row r="8" spans="1:3" ht="12.75">
      <c r="A8" s="13" t="s">
        <v>121</v>
      </c>
      <c r="B8" s="13"/>
      <c r="C8" s="58">
        <f>IF(G1=0,0,IF(OR(C1="Frostphäre",C1="Meteor",C1="Feuerwand",C1="Blizzard",C1="Hydra"),1/C7,IF(K3&gt;J4,K3,J4)))</f>
        <v>0</v>
      </c>
    </row>
    <row r="9" spans="1:3" ht="12.75">
      <c r="A9" s="13" t="s">
        <v>124</v>
      </c>
      <c r="B9" s="13"/>
      <c r="C9" s="58">
        <f>Verhältnis!B15</f>
        <v>0.30833333333333335</v>
      </c>
    </row>
    <row r="12" spans="1:4" ht="12.75">
      <c r="A12" s="13" t="s">
        <v>128</v>
      </c>
      <c r="B12" s="13"/>
      <c r="C12" s="13"/>
      <c r="D12" s="58">
        <f>IF(G1=0,"",C5*C8)</f>
      </c>
    </row>
    <row r="13" spans="1:4" ht="12.75">
      <c r="A13" s="13" t="s">
        <v>129</v>
      </c>
      <c r="B13" s="13"/>
      <c r="C13" s="13"/>
      <c r="D13" s="58">
        <f>IF(G1=0,"",D12-C9)</f>
      </c>
    </row>
    <row r="14" spans="1:4" ht="12.75">
      <c r="A14" s="172" t="s">
        <v>130</v>
      </c>
      <c r="B14" s="173"/>
      <c r="C14" s="173"/>
      <c r="D14" s="175">
        <f>IF(G1=0,"",IF((C4/D13)&lt;0,"∞",C4/D13))</f>
      </c>
    </row>
    <row r="16" spans="1:7" ht="18.75">
      <c r="A16" s="180">
        <f>IF(G1=0,"",IF(D14="∞","","Die volle Manakugel ist nach"))</f>
      </c>
      <c r="B16" s="180"/>
      <c r="D16" s="181">
        <f>IF(D14="∞","",D14)</f>
      </c>
      <c r="E16" s="180">
        <f>IF(G1=0,"",IF(D14="∞","","Sekunden dauercasten auf 0 Mana runter."))</f>
      </c>
      <c r="F16" s="180"/>
      <c r="G16" s="180"/>
    </row>
    <row r="17" spans="1:8" ht="19.5" customHeight="1">
      <c r="A17" s="182">
        <f>IF(D14="∞","Die Manakugel wird mit den gemachten Angaben und ohne weiteren Einflüssen beim dauercasten nie leer gehen","")</f>
      </c>
      <c r="B17" s="179"/>
      <c r="C17" s="178"/>
      <c r="D17" s="179"/>
      <c r="E17" s="179"/>
      <c r="F17" s="179"/>
      <c r="G17" s="179"/>
      <c r="H17" s="174"/>
    </row>
  </sheetData>
  <printOptions/>
  <pageMargins left="0.75" right="0.75" top="1" bottom="1"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Fire</dc:creator>
  <cp:keywords/>
  <dc:description/>
  <cp:lastModifiedBy>Fire</cp:lastModifiedBy>
  <dcterms:created xsi:type="dcterms:W3CDTF">2006-08-17T03:32:05Z</dcterms:created>
  <dcterms:modified xsi:type="dcterms:W3CDTF">2006-10-05T14:36:44Z</dcterms:modified>
  <cp:category/>
  <cp:version/>
  <cp:contentType/>
  <cp:contentStatus/>
</cp:coreProperties>
</file>